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revisions/revisionLog111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.xml" ContentType="application/vnd.openxmlformats-officedocument.spreadsheetml.revisionLo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revisions/revisionLog141.xml" ContentType="application/vnd.openxmlformats-officedocument.spreadsheetml.revisionLog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5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15600" windowHeight="9495" tabRatio="990"/>
  </bookViews>
  <sheets>
    <sheet name="CONTR ORGANIZ" sheetId="1" r:id="rId1"/>
    <sheet name="PÓS-GRAD E PESQUISA" sheetId="2" r:id="rId2"/>
    <sheet name="ENSINO DE GRADUAÇÃO" sheetId="3" r:id="rId3"/>
    <sheet name="EXTENSÃO" sheetId="4" r:id="rId4"/>
    <sheet name="APOIO ACADEMICO" sheetId="5" r:id="rId5"/>
    <sheet name="PLANEJ, ORÇ, FINANÇAS" sheetId="6" r:id="rId6"/>
    <sheet name="INF, COMUNIC, E TECNOL" sheetId="7" r:id="rId7"/>
    <sheet name="BENS E SERVIÇOS" sheetId="8" r:id="rId8"/>
    <sheet name="GESTÃO DE PESSOAS" sheetId="9" r:id="rId9"/>
    <sheet name="INFRA, MANUT, SEGURANÇA" sheetId="10" r:id="rId10"/>
    <sheet name="Gestão Audint" sheetId="11" r:id="rId11"/>
    <sheet name="Jediene" sheetId="12" r:id="rId12"/>
    <sheet name="Mirelle" sheetId="13" r:id="rId13"/>
    <sheet name="Lyndon" sheetId="14" r:id="rId14"/>
    <sheet name="Bruno" sheetId="15" r:id="rId15"/>
    <sheet name="ARTHUR" sheetId="16" r:id="rId16"/>
    <sheet name="Plan1" sheetId="17" state="hidden" r:id="rId17"/>
  </sheets>
  <calcPr calcId="125725"/>
  <customWorkbookViews>
    <customWorkbookView name="Audint - 4169 - Modo de exibição pessoal" guid="{96FD02FA-CE5E-4ADB-B35B-D1C6BC52FA4E}" mergeInterval="0" personalView="1" maximized="1" xWindow="1" yWindow="1" windowWidth="1436" windowHeight="670" tabRatio="990" activeSheetId="11"/>
    <customWorkbookView name="Administrador - Modo de exibição pessoal" guid="{B01252BE-60D1-4D61-8D54-18CA35878812}" mergeInterval="0" personalView="1" maximized="1" xWindow="1" yWindow="1" windowWidth="707" windowHeight="653" tabRatio="990" activeSheetId="1"/>
    <customWorkbookView name="Izabelle - Modo de exibição pessoal" guid="{E490CE09-6BB1-4620-A237-C73B1B997924}" mergeInterval="0" personalView="1" maximized="1" xWindow="1" yWindow="1" windowWidth="1436" windowHeight="670" tabRatio="908" activeSheetId="3"/>
    <customWorkbookView name="sala 148 - Modo de exibição pessoal" guid="{427ED699-5E31-443D-B20E-3E67EC9E8F93}" mergeInterval="0" personalView="1" maximized="1" xWindow="1" yWindow="1" windowWidth="1024" windowHeight="538" activeSheetId="11"/>
    <customWorkbookView name="Mirelle - Modo de exibição pessoal" guid="{0BE8A49B-CCD8-4D2B-924B-C3C981B84E5F}" mergeInterval="0" personalView="1" maximized="1" xWindow="1" yWindow="1" windowWidth="1596" windowHeight="670" tabRatio="990" activeSheetId="13"/>
    <customWorkbookView name="Bruno Becker - Modo de exibição pessoal" guid="{8E208870-C947-48A4-A7D0-07C1A1950AA9}" mergeInterval="0" personalView="1" maximized="1" xWindow="1" yWindow="1" windowWidth="1596" windowHeight="670" tabRatio="990" activeSheetId="10"/>
    <customWorkbookView name="Jade - Modo de exibição pessoal" guid="{BE4FC02B-9720-4D1A-82CA-4065D419B672}" mergeInterval="0" personalView="1" maximized="1" xWindow="1" yWindow="1" windowWidth="1596" windowHeight="670" tabRatio="990" activeSheetId="9"/>
  </customWorkbookViews>
</workbook>
</file>

<file path=xl/calcChain.xml><?xml version="1.0" encoding="utf-8"?>
<calcChain xmlns="http://schemas.openxmlformats.org/spreadsheetml/2006/main">
  <c r="E8" i="16"/>
  <c r="G3" i="2"/>
  <c r="G3" i="3"/>
  <c r="G7" i="2"/>
  <c r="G4" i="4"/>
  <c r="G5" i="5"/>
  <c r="G10" i="11"/>
  <c r="G7" i="9"/>
  <c r="G8"/>
  <c r="G5"/>
  <c r="G4" i="6"/>
  <c r="G8" s="1"/>
  <c r="G4" i="9"/>
  <c r="G3"/>
  <c r="G11" s="1"/>
  <c r="G5" i="3"/>
  <c r="G3" i="7"/>
  <c r="G6" s="1"/>
  <c r="G5"/>
  <c r="G6" i="2"/>
  <c r="G5"/>
  <c r="G10" i="9"/>
  <c r="G3" i="4"/>
  <c r="G4" i="3"/>
  <c r="G7" i="6"/>
  <c r="G6"/>
  <c r="G9" i="9"/>
  <c r="G5" i="8"/>
  <c r="G5" i="10"/>
  <c r="G4" i="2"/>
  <c r="G5" i="6"/>
  <c r="G4" i="5"/>
  <c r="G3" i="8"/>
  <c r="G3" i="6"/>
  <c r="G3" i="5"/>
  <c r="G4" i="7"/>
  <c r="G6" i="9"/>
  <c r="G9" i="11"/>
  <c r="G4"/>
  <c r="G6"/>
  <c r="G8"/>
  <c r="G7"/>
  <c r="G5"/>
  <c r="G3"/>
  <c r="G4" i="10"/>
  <c r="G3"/>
  <c r="G10" i="1"/>
  <c r="G9"/>
  <c r="G8"/>
  <c r="G7"/>
  <c r="G6"/>
  <c r="G5"/>
  <c r="G4"/>
  <c r="C24" i="14"/>
  <c r="M24" i="13"/>
  <c r="C14" i="12"/>
  <c r="C15" i="13"/>
  <c r="G4" i="8"/>
  <c r="C16" i="16" l="1"/>
  <c r="D19"/>
  <c r="E19"/>
  <c r="F19"/>
  <c r="G19"/>
  <c r="H19"/>
  <c r="I19"/>
  <c r="J19"/>
  <c r="K19"/>
  <c r="L19"/>
  <c r="M19"/>
  <c r="N19"/>
  <c r="O19"/>
  <c r="C6"/>
  <c r="C9"/>
  <c r="C8"/>
  <c r="C10"/>
  <c r="C7"/>
  <c r="C11"/>
  <c r="C13"/>
  <c r="C12"/>
  <c r="C14"/>
  <c r="C15"/>
  <c r="C17"/>
  <c r="C18"/>
  <c r="M23" i="15"/>
  <c r="M11" i="14"/>
  <c r="E24" i="15"/>
  <c r="F24"/>
  <c r="G24"/>
  <c r="H24"/>
  <c r="I24"/>
  <c r="J24"/>
  <c r="K24"/>
  <c r="L24"/>
  <c r="M24"/>
  <c r="N24"/>
  <c r="O24"/>
  <c r="C21"/>
  <c r="C22"/>
  <c r="C23"/>
  <c r="C7"/>
  <c r="C8"/>
  <c r="C9"/>
  <c r="C10"/>
  <c r="C11"/>
  <c r="C12"/>
  <c r="C13"/>
  <c r="C14"/>
  <c r="C15"/>
  <c r="C16"/>
  <c r="C17"/>
  <c r="C18"/>
  <c r="C19"/>
  <c r="C20"/>
  <c r="M24" i="14"/>
  <c r="O23"/>
  <c r="C9"/>
  <c r="D24"/>
  <c r="N24"/>
  <c r="O4"/>
  <c r="N4"/>
  <c r="M4"/>
  <c r="L4"/>
  <c r="K4"/>
  <c r="K25" s="1"/>
  <c r="J4"/>
  <c r="I4"/>
  <c r="H4"/>
  <c r="G4"/>
  <c r="F4"/>
  <c r="E4"/>
  <c r="O24"/>
  <c r="O25" s="1"/>
  <c r="L24"/>
  <c r="K24"/>
  <c r="J24"/>
  <c r="I24"/>
  <c r="H24"/>
  <c r="F24"/>
  <c r="E24"/>
  <c r="C20"/>
  <c r="C21"/>
  <c r="C22"/>
  <c r="C23"/>
  <c r="C7"/>
  <c r="C10"/>
  <c r="C11"/>
  <c r="C12"/>
  <c r="C13"/>
  <c r="C14"/>
  <c r="C15"/>
  <c r="C16"/>
  <c r="C17"/>
  <c r="C18"/>
  <c r="C19"/>
  <c r="K24" i="13"/>
  <c r="O24"/>
  <c r="N24"/>
  <c r="L24"/>
  <c r="J24"/>
  <c r="I24"/>
  <c r="H24"/>
  <c r="G24"/>
  <c r="F24"/>
  <c r="E24"/>
  <c r="D24"/>
  <c r="D24" i="15"/>
  <c r="O22" i="12"/>
  <c r="N22"/>
  <c r="M22"/>
  <c r="L22"/>
  <c r="K22"/>
  <c r="J22"/>
  <c r="I22"/>
  <c r="H22"/>
  <c r="G22"/>
  <c r="F22"/>
  <c r="E22"/>
  <c r="D22"/>
  <c r="C17" i="13"/>
  <c r="C13" i="12"/>
  <c r="C16"/>
  <c r="E4" i="16"/>
  <c r="F4"/>
  <c r="G4"/>
  <c r="H4"/>
  <c r="I4"/>
  <c r="J4"/>
  <c r="K4"/>
  <c r="L4"/>
  <c r="M4"/>
  <c r="N4"/>
  <c r="O4"/>
  <c r="D4"/>
  <c r="E4" i="15"/>
  <c r="F4"/>
  <c r="G4"/>
  <c r="H4"/>
  <c r="I4"/>
  <c r="J4"/>
  <c r="K4"/>
  <c r="L4"/>
  <c r="M4"/>
  <c r="N4"/>
  <c r="O4"/>
  <c r="D4"/>
  <c r="D4" i="14"/>
  <c r="C19" i="16" l="1"/>
  <c r="C24" i="15"/>
  <c r="G24" i="14"/>
  <c r="C8"/>
  <c r="D4" i="13"/>
  <c r="O4" i="12"/>
  <c r="N4"/>
  <c r="M4"/>
  <c r="L4"/>
  <c r="K4"/>
  <c r="J4"/>
  <c r="I4"/>
  <c r="H4"/>
  <c r="G4"/>
  <c r="F4"/>
  <c r="E4"/>
  <c r="C6" i="15"/>
  <c r="C6" i="14"/>
  <c r="C23" i="13"/>
  <c r="C21" i="12"/>
  <c r="C18"/>
  <c r="C21" i="13"/>
  <c r="C20"/>
  <c r="C18"/>
  <c r="C17" i="12"/>
  <c r="C12" i="13"/>
  <c r="C13"/>
  <c r="C14"/>
  <c r="C4" i="14" l="1"/>
  <c r="D20" i="16" l="1"/>
  <c r="D4" i="12"/>
  <c r="G6" i="10" l="1"/>
  <c r="G6" i="3" l="1"/>
  <c r="G11" i="1"/>
  <c r="C16" i="13" l="1"/>
  <c r="C10" i="12"/>
  <c r="N25" i="14" l="1"/>
  <c r="M25"/>
  <c r="L25"/>
  <c r="J25"/>
  <c r="I25"/>
  <c r="H25"/>
  <c r="G25"/>
  <c r="F25"/>
  <c r="E25"/>
  <c r="C3" i="16" l="1"/>
  <c r="G20" l="1"/>
  <c r="I20"/>
  <c r="O20"/>
  <c r="M20"/>
  <c r="H20"/>
  <c r="F20"/>
  <c r="N20"/>
  <c r="E20"/>
  <c r="L20"/>
  <c r="K20"/>
  <c r="J20"/>
  <c r="C4"/>
  <c r="C11" i="13"/>
  <c r="C10"/>
  <c r="C9"/>
  <c r="C22" l="1"/>
  <c r="C19"/>
  <c r="C8"/>
  <c r="C7"/>
  <c r="C6"/>
  <c r="O4"/>
  <c r="N4"/>
  <c r="M4"/>
  <c r="L4"/>
  <c r="K4"/>
  <c r="J4"/>
  <c r="I4"/>
  <c r="H4"/>
  <c r="G4"/>
  <c r="F4"/>
  <c r="E4"/>
  <c r="C3"/>
  <c r="C3" i="15"/>
  <c r="C3" i="14"/>
  <c r="N23" i="12"/>
  <c r="L23"/>
  <c r="K23"/>
  <c r="H23"/>
  <c r="F23"/>
  <c r="E23"/>
  <c r="D23"/>
  <c r="C19"/>
  <c r="C20"/>
  <c r="C12"/>
  <c r="C15"/>
  <c r="C11"/>
  <c r="C9"/>
  <c r="C8"/>
  <c r="C7"/>
  <c r="C6"/>
  <c r="C3"/>
  <c r="G6" i="8"/>
  <c r="C22" i="12" l="1"/>
  <c r="C24" s="1"/>
  <c r="C24" i="13"/>
  <c r="O25"/>
  <c r="I23" i="12"/>
  <c r="O23"/>
  <c r="J23"/>
  <c r="M23"/>
  <c r="G23"/>
  <c r="C4"/>
  <c r="G25" i="13"/>
  <c r="D25" i="14"/>
  <c r="H25" i="15"/>
  <c r="O25"/>
  <c r="N25"/>
  <c r="G25"/>
  <c r="F25"/>
  <c r="J25"/>
  <c r="D25"/>
  <c r="L25"/>
  <c r="K25"/>
  <c r="I25"/>
  <c r="E25"/>
  <c r="M25"/>
  <c r="J25" i="13"/>
  <c r="F25"/>
  <c r="N25"/>
  <c r="E25"/>
  <c r="M25"/>
  <c r="D25"/>
  <c r="L25"/>
  <c r="I25"/>
  <c r="K25"/>
  <c r="H25"/>
  <c r="C4"/>
  <c r="C4" i="15"/>
  <c r="C25" i="13" l="1"/>
  <c r="C25" i="14"/>
  <c r="C23" i="12"/>
</calcChain>
</file>

<file path=xl/sharedStrings.xml><?xml version="1.0" encoding="utf-8"?>
<sst xmlns="http://schemas.openxmlformats.org/spreadsheetml/2006/main" count="567" uniqueCount="208">
  <si>
    <t xml:space="preserve">Nº Ação </t>
  </si>
  <si>
    <t>Descrição Sumária da Ação</t>
  </si>
  <si>
    <t>Origem da Demanda/ Gestão</t>
  </si>
  <si>
    <t>Objetivo da Ação</t>
  </si>
  <si>
    <t>Período</t>
  </si>
  <si>
    <t>Homem/ Hora</t>
  </si>
  <si>
    <t>AUDINT</t>
  </si>
  <si>
    <t>JAN</t>
  </si>
  <si>
    <t>SET</t>
  </si>
  <si>
    <t>NOV</t>
  </si>
  <si>
    <t>JEDIENE</t>
  </si>
  <si>
    <t>TCU</t>
  </si>
  <si>
    <t>Responsável</t>
  </si>
  <si>
    <t>Monitoramento de Acórdãos TCU</t>
  </si>
  <si>
    <t>JAN A FEV</t>
  </si>
  <si>
    <t>TOTAL DE HORAS</t>
  </si>
  <si>
    <t xml:space="preserve">Elaborar o Plano Anual de atividades da auditoria interna, em atendimento à IN-CGU 24/2015. </t>
  </si>
  <si>
    <t xml:space="preserve">Monitorar o cumprimento das determinações expedidas pelo TCU, dando-lhe conhecimento das ações implementadas. </t>
  </si>
  <si>
    <t xml:space="preserve">Área/ Abrangência </t>
  </si>
  <si>
    <t>Origem da Demanda</t>
  </si>
  <si>
    <t>Monitoramento dos Planos de Providências para atender as recomendações da CGU</t>
  </si>
  <si>
    <t>Conselho de Adm: Elaboração de Relatórios e apresentações; participação de reuniões</t>
  </si>
  <si>
    <t>MIRELLE</t>
  </si>
  <si>
    <t>LYNDON</t>
  </si>
  <si>
    <t>BRUNO</t>
  </si>
  <si>
    <t>JAN A DEZ</t>
  </si>
  <si>
    <t>JUL A OUT</t>
  </si>
  <si>
    <t>MAR A DEZ</t>
  </si>
  <si>
    <t>Elaborar relatórios gerenciais apresentando posicionamento das recomendações CGU e AUDINT, e determinações do TCU</t>
  </si>
  <si>
    <t>IN-CGU 24/2015</t>
  </si>
  <si>
    <t>JAN A SET</t>
  </si>
  <si>
    <t xml:space="preserve">Acompanhar  a implementação das recomendações da CGU, dando-lhe conhecimento das ações. </t>
  </si>
  <si>
    <t>PROPLAN</t>
  </si>
  <si>
    <t>Descrição Sumária da Ação/ PROCESSO</t>
  </si>
  <si>
    <t>UNIDADE ESTRATÉGICA RESPONSÁVEL PELO PROCESSO</t>
  </si>
  <si>
    <t>MACROPROCESSO - INFRAESTRUTURA, MANUTENÇÕES, EXPANSÃO E SEGURANÇA INSTITUCIONAL</t>
  </si>
  <si>
    <t>MACROPROCESSO: PLANEJAMENTO, ORÇAMENTO, FINANÇAS E CONTABILIDADE</t>
  </si>
  <si>
    <t>MACROPROCESSO: BENS E SERVIÇOS</t>
  </si>
  <si>
    <t>MACROPROCESSO: GESTÃO DE PESSOAS</t>
  </si>
  <si>
    <t>MACROPROCESSO: ENSINO DE PÓS-GRADUAÇÃO E PESQUISA</t>
  </si>
  <si>
    <t>Responsável pela Ação</t>
  </si>
  <si>
    <t>GESTÃO AUDINT</t>
  </si>
  <si>
    <t>MACROPROCESSO: INFORMAÇÕES, COMUNICAÇÕES E TECNOLOGIA</t>
  </si>
  <si>
    <t>MACROPROCESSO: APOIO A COMUNIDADE ACADÊMICA</t>
  </si>
  <si>
    <t>MACROPROCESSO: EXTENSÃO E CULTURA</t>
  </si>
  <si>
    <t>MACROPROCESSO: ENSINO DE GRADUAÇÃO</t>
  </si>
  <si>
    <t>MACROPROCESSO: CONTROLES ORGANIZACIONAIS</t>
  </si>
  <si>
    <t>ANEXO I - CRONOGRAMA DE ATIVIDADES POR MACROPROCESSOS</t>
  </si>
  <si>
    <t>Acompanhar junto aos gestores regularizações sobre apontamentos de indícios de irregularidades identificados a partir de críticas realizadas pelo TCU em folha de pagamento e encaminhados a AUDINT via Sistema E-Pessoal.</t>
  </si>
  <si>
    <t xml:space="preserve">Monitoramento de Indícios de irregularidade (Sistema e-Pessoal) </t>
  </si>
  <si>
    <t>TOTAL</t>
  </si>
  <si>
    <t>FEV</t>
  </si>
  <si>
    <t>MAR</t>
  </si>
  <si>
    <t>ABR</t>
  </si>
  <si>
    <t>MAI</t>
  </si>
  <si>
    <t>JUN</t>
  </si>
  <si>
    <t>JUL</t>
  </si>
  <si>
    <t>AGO</t>
  </si>
  <si>
    <t>OUT</t>
  </si>
  <si>
    <t>DEZ</t>
  </si>
  <si>
    <t>DIAS ÚTEIS</t>
  </si>
  <si>
    <t>HORAS TOTAIS</t>
  </si>
  <si>
    <t>AÇÃO</t>
  </si>
  <si>
    <t>DESCRIÇÃO</t>
  </si>
  <si>
    <t>TOTAIS</t>
  </si>
  <si>
    <t>ARTHUR</t>
  </si>
  <si>
    <t>Matriz de Riscos</t>
  </si>
  <si>
    <t xml:space="preserve">Ação de Auditoria: jornada e regime de trabalho. </t>
  </si>
  <si>
    <t>PROGEPE</t>
  </si>
  <si>
    <t>Auditoria: Contratos</t>
  </si>
  <si>
    <t>Avaliar a regularidade da execução dos contratos de prestação de serviços de terceiros nos campi Recife, Caruaru e Vitória, em atenção à denuncia encaminhada pelo Gabinete do Reitor, conforme processo 23076.021522/2017-13.</t>
  </si>
  <si>
    <t>DLC/PROGEST</t>
  </si>
  <si>
    <t>PROCIT</t>
  </si>
  <si>
    <t>PROACAD</t>
  </si>
  <si>
    <t>Auditoria: Descentralização orçamentária</t>
  </si>
  <si>
    <t>Auditoria: Realização do CONIC</t>
  </si>
  <si>
    <t>Auditoria: Gerenciamento de Riscos</t>
  </si>
  <si>
    <t>PROAES</t>
  </si>
  <si>
    <t>Auditoria: Restaurante Universitário</t>
  </si>
  <si>
    <t>PPP - Atividades de Extensão</t>
  </si>
  <si>
    <t>PPP - Gerenciamento de compras, licitações e ARP's.</t>
  </si>
  <si>
    <t>PPP - Incentivo à pesquisa</t>
  </si>
  <si>
    <t>PPP - Gestão de bolsas</t>
  </si>
  <si>
    <t>PPP - PAAD e RAAD</t>
  </si>
  <si>
    <t>PROPESQ</t>
  </si>
  <si>
    <t>Atividades Administrativas da AUDINT</t>
  </si>
  <si>
    <t xml:space="preserve">Capacitação </t>
  </si>
  <si>
    <t>Relatório de Gestão 2018 UFPE</t>
  </si>
  <si>
    <t>Elaboração do  RAINT de 2018</t>
  </si>
  <si>
    <t>Apoio às auditorias e ao seu monitoramento; reuniões de auditoria; analise de Relatórios e de PPP AUDINT</t>
  </si>
  <si>
    <t>Conselho de Adm: Elaboração de Relatórios e apresentações; participação de reuniões, ETC</t>
  </si>
  <si>
    <t>Capacitação</t>
  </si>
  <si>
    <t>Ementário de Gestão Pública</t>
  </si>
  <si>
    <t>Elaboração do RAINT de 2018</t>
  </si>
  <si>
    <t xml:space="preserve">Ação de Auditoria: pessoal cedido. </t>
  </si>
  <si>
    <t>PPP - Gestão de Tecnologia de Informação</t>
  </si>
  <si>
    <t>PPP sobre veículos</t>
  </si>
  <si>
    <t>PPP - Aposentadorias e Pensões</t>
  </si>
  <si>
    <t>PPP - Veículos</t>
  </si>
  <si>
    <t>PPP - Assistência Estudantil</t>
  </si>
  <si>
    <t>Atualizações e Debates Técnicos</t>
  </si>
  <si>
    <t>Gestão de Melhoria</t>
  </si>
  <si>
    <t>Contingências</t>
  </si>
  <si>
    <t>Ação de Auditoria: Gerenciamento de Riscos</t>
  </si>
  <si>
    <t>Ação de Auditoria: Progressão Docente</t>
  </si>
  <si>
    <t xml:space="preserve">Ação de Auditoria: Jornada e Regime de trabalho. </t>
  </si>
  <si>
    <t xml:space="preserve">Ação de Auditoria: Pessoal Cedido. </t>
  </si>
  <si>
    <t>Ação de Auditoria: Serviço de Informação ao Cidadão - SIC</t>
  </si>
  <si>
    <t>Ação de Auditoria: Oferta, Acesso, e Permanência em Cursos de Graduação</t>
  </si>
  <si>
    <t>Ação de Auditoria: Eventos Acadêmicos / Realização do CONIC</t>
  </si>
  <si>
    <t>PPP - Elaboração e Monitoramento dos Planos Estratégicos</t>
  </si>
  <si>
    <t>PPP - Pessoal Cedido</t>
  </si>
  <si>
    <t>PPP - DEA</t>
  </si>
  <si>
    <t>PPP - Contratos</t>
  </si>
  <si>
    <t>PPP - Progressão Docente</t>
  </si>
  <si>
    <t>PPP - Jornada e Regime de Trabalho</t>
  </si>
  <si>
    <t>PPP - Organização e Métodos da Segurança Institucional</t>
  </si>
  <si>
    <t>PPP - Descentralização Orçamentária</t>
  </si>
  <si>
    <t>PPP - Restaurante Universitário</t>
  </si>
  <si>
    <t>PPP - Eventos Acadêmicos / Realização do CONIC</t>
  </si>
  <si>
    <t>PPP - Serviço de Informação ao Cidadão - SIC</t>
  </si>
  <si>
    <t>PPP - Oferta, Acesso, e Permanência em Cursos de Graduação.</t>
  </si>
  <si>
    <t>Ação de Auditoria: Descentralização Orçamentária</t>
  </si>
  <si>
    <t>Ação de Auditoria: Contratos</t>
  </si>
  <si>
    <t>Ação de Auditoria: Restaurante Universitário</t>
  </si>
  <si>
    <t>PPP - Gerenciamento de Riscos</t>
  </si>
  <si>
    <t xml:space="preserve">Ação de Auditoria Especial: Convênio FADE/UFPE/CHESF </t>
  </si>
  <si>
    <t>Elaboração do PAINT 2020</t>
  </si>
  <si>
    <t>Auditoria: Eventos</t>
  </si>
  <si>
    <t>Auditoria: Oferta, acesso e Permanência em Cursos</t>
  </si>
  <si>
    <t>PPP: Gestão de TI</t>
  </si>
  <si>
    <t>Apoio às auditorias e ao seu monitoramento; reuniões de auditoria; analise de Relatórios e de PPP AUDINT; etc.</t>
  </si>
  <si>
    <t>Analisar e consolidar os Relatórios de Auditoria elaborados pela AUDINT; orientar os auditores internos na execução de seus trabalhos; promoção de reuniões de abertura de auditoria e de busca conjunta com gestores de unidades auditadas; etc.</t>
  </si>
  <si>
    <t>Capacitação da Equipe  AUDINT</t>
  </si>
  <si>
    <t xml:space="preserve">Capacitar a equipe a fim de ampliar os trabalhos da Auditoria e torná-los mais eficientes. </t>
  </si>
  <si>
    <t>Aperfeiçoar os mecanismos de acompanhamento da auditoria interna e melhorar a qualidade do serviço; atualização constante sobre mudanças de legislação, inovações técnicas, informes do TCU e da CGU, etc.</t>
  </si>
  <si>
    <t>JEDIENE       MIRELLE</t>
  </si>
  <si>
    <t>Elaborar e encaminhar aos gestores da UFPE informações acerca de atualizações legais e edições de novos Acórdãos do TCU.</t>
  </si>
  <si>
    <t>Realizar atividades diversas de procedimentos administrativos e apoio.</t>
  </si>
  <si>
    <t>Elaboração do   RAINT de 2018</t>
  </si>
  <si>
    <t>Elaboração do 
PAINT 2020</t>
  </si>
  <si>
    <t>LYNDON     BRUNO</t>
  </si>
  <si>
    <t>FEV - ABR</t>
  </si>
  <si>
    <t>AGO - OUT</t>
  </si>
  <si>
    <t>MAIO - JUL</t>
  </si>
  <si>
    <t>AGO - DEZ</t>
  </si>
  <si>
    <t>PPP - Manutenções</t>
  </si>
  <si>
    <t>JEDIENE     MIRELLE</t>
  </si>
  <si>
    <t>JEDIENE        MIRELLE          BRUNO        LYNDON      ARTHUR</t>
  </si>
  <si>
    <t xml:space="preserve">JEDIENE        MIRELLE          </t>
  </si>
  <si>
    <t>UFPE/AUDINT</t>
  </si>
  <si>
    <t>CGU</t>
  </si>
  <si>
    <t xml:space="preserve">JEDIENE        MIRELLE          BRUNO        LYNDON      </t>
  </si>
  <si>
    <t>BRUNO        LYNDON      ARTHUR</t>
  </si>
  <si>
    <t>JEDIENE        MIRELLE          BRUNO        LYNDON       ARTHUR</t>
  </si>
  <si>
    <t>PPP - PESSOAL CEDIDO</t>
  </si>
  <si>
    <t>PPP - PROGRESSÃO DOCENTE</t>
  </si>
  <si>
    <t>Ação de auditoria</t>
  </si>
  <si>
    <t>Acompanhamento das providências tomadas para sanar as constatações observadas nos trabalhos de auditoria.</t>
  </si>
  <si>
    <t>SINFRA</t>
  </si>
  <si>
    <t>PROEXC</t>
  </si>
  <si>
    <t>SET/DEZ</t>
  </si>
  <si>
    <t>Ação de auditoria 2018</t>
  </si>
  <si>
    <t>Ação de auditoria 2019</t>
  </si>
  <si>
    <t>PROGEST</t>
  </si>
  <si>
    <t>Ação de auditoria 2017</t>
  </si>
  <si>
    <t>JAN - FEV</t>
  </si>
  <si>
    <t>MAR - MAI</t>
  </si>
  <si>
    <t>PROGEPE/PROPLAN</t>
  </si>
  <si>
    <t>JAN - DEZ</t>
  </si>
  <si>
    <t>JAN - ABR</t>
  </si>
  <si>
    <t>MAI - JUL</t>
  </si>
  <si>
    <t>MAR - JUN</t>
  </si>
  <si>
    <t>ABR - JUL</t>
  </si>
  <si>
    <t xml:space="preserve">Analisar, detectar e instituir medidas para o saneamento de gargalos que prejudiquem o bom desempenho da unidade.  </t>
  </si>
  <si>
    <t>MAR /JUN</t>
  </si>
  <si>
    <t>JAN / JUL</t>
  </si>
  <si>
    <t>FEV / AGO</t>
  </si>
  <si>
    <t>JUL / NOV</t>
  </si>
  <si>
    <t>SET / NOV</t>
  </si>
  <si>
    <t>MAI / SET</t>
  </si>
  <si>
    <t>ABR / JUL</t>
  </si>
  <si>
    <t>MAR / JUL</t>
  </si>
  <si>
    <t>AGO / NOV</t>
  </si>
  <si>
    <t>MAR / JUN</t>
  </si>
  <si>
    <t>MAR /  JUL</t>
  </si>
  <si>
    <t>UFPE</t>
  </si>
  <si>
    <t>Elaborar o Relatório Anual de Auditoria Interna - RAINT/2018, apresentando os resultados aos órgãos competentes. Cumprimento à IN nº 24/2015.</t>
  </si>
  <si>
    <t>Emitir parecer sobre a prestação de contas, em atendimento às normas legais, avaliando o cumprimento por parte da UFPE ao disposto nas normas do TCU
relacionadas à prestação de contas.</t>
  </si>
  <si>
    <t>Acompanhamento das providências tomadas para sanar as constatações observadas nos trabalhos de auditoria anterior.</t>
  </si>
  <si>
    <t>FEV /ABR</t>
  </si>
  <si>
    <t>Verificar a regularidade dos atos de gestão relacionados ao Restaurante Universitário,  bem como a existência de mecanismos desenvolvidos pela gestão para a verificação da efetividade dos serviços prestados.</t>
  </si>
  <si>
    <t>Verificar a regularidade e legitimidade na execução de atos relacionados à descentralização orçamentária no âmbito da Universidade, bem como a suficiencia dos controles internos relacionados ao processo, verificando mecanismos e critérios adotados, bem como sua adequação quanto ao planejamento .</t>
  </si>
  <si>
    <t>Gabinete do Reitor - Auditoria Especial 2018</t>
  </si>
  <si>
    <t>Matriz de Riscos e Gabinete do Reitor</t>
  </si>
  <si>
    <t>Analisar a regularidade e economicidade no planejamento, execução e prestação de contas dos eventos da Universidade, englobando, ainda, atos de gestão relacionados ao CONIC, bem como os controles internos e aspectos de governança relacionados ao tema.</t>
  </si>
  <si>
    <t>Analisar a regularidade e economicidade no planejamento, execução e prestação de contas dos eventos da Universidade, englobando, ainda, a análise dos controles internos e aspectos de governança relacionados ao tema.</t>
  </si>
  <si>
    <t>Analisar a adequação e suficiência dos controles internos relacionados à  regularidade do ingresso e permanência dos alunos nos diversos cursos e programas oferecidos pela instituição. Serão avaliados também mecanismos de governança relacionados ao processo.</t>
  </si>
  <si>
    <t>Analisar a conformidade e suficiência dos instrumentos de gerenciamento de riscos implementados pela Universidade, bem como a instituição e adequação dos mecanismos de governança relacionados ao tema.</t>
  </si>
  <si>
    <t>Verificar a regularidade das despesas relacionadas ao  contrato CT-I-92.2009.4770.00 objetivando atender ao Parecer e encaminhamento da PGF/UFPE.</t>
  </si>
  <si>
    <t>Verificar a regularidade do reembolso das remunerações pagas aos servidores da UFPE cedidos com ônus para
o órgão ou entidade cessionária, inclusive o reembolso dos encargos sociais incidentes sobre essas remunerações, nos termos do § 1º do Art. 93 da Lei 8.112 de 11/12/1990 e demais normas regulamentares. Complementarmente procura-se analisar os aspectos formais dos processos de cessão, os controles internos e instrumentos de governança relacionados ao processo.</t>
  </si>
  <si>
    <t>Verificação dos atos e fatos da gestão relativos à progressão  dos docentes da UFPE no tocante a legalidade e legitimidade. Complementarmente, serão observados analisar os aspectos formais para as concessões, os controles internos, bem como os instrumentos de governança relacionados ao processo.</t>
  </si>
  <si>
    <t>Revisar os atos de concessão da flexibilização da jornada de trabalho, tomando por base o mapeamento das atividades desenvolvidas nas unidades administrativas em relação aos critérios definidos pela IN nº 02/2018.</t>
  </si>
  <si>
    <t>HH resevarda à mensuração de eventualidades relacionadas a ocorrências imprevisíveis para o exercício das atividades de auditoria.</t>
  </si>
  <si>
    <t>-</t>
  </si>
  <si>
    <t>Auditoria: Programa de Integridade/ Serviço de informação ao cidadão - SIC</t>
  </si>
  <si>
    <t>PROCIT     OUVIDORIA      SOPAD          COMISSÃO ÉTICA    COMISSÃO PAR</t>
  </si>
  <si>
    <t>Avaliar a implementação do Programa de Integridade na instituição, o qual abrange as áreas de ouvidoria, ética, correição e de responsabilização (PAR). Observar a adequação dos serviços  executados pela Universidade em relação às normas que regem o tema. Verificar a existência de mecanismos de avaliação de qualidade, a suficiência dos controles internos existentes, bem como os instrumentos de governança instituídos sobre o tema. (INCLUIR O ACÓRDÃO 1943/2018-PLENÁRIO TCU NO ESCOPO)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</si>
</sst>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(* #,##0.00_);_(* \(#,##0.00\);_(* &quot;-&quot;??_);_(@_)"/>
  </numFmts>
  <fonts count="20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138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/>
    <xf numFmtId="0" fontId="6" fillId="0" borderId="0" xfId="0" applyFont="1" applyFill="1"/>
    <xf numFmtId="0" fontId="6" fillId="4" borderId="1" xfId="0" applyFont="1" applyFill="1" applyBorder="1"/>
    <xf numFmtId="49" fontId="6" fillId="0" borderId="0" xfId="0" applyNumberFormat="1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4" borderId="7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43" fontId="6" fillId="0" borderId="0" xfId="1" applyFont="1"/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3" fillId="7" borderId="12" xfId="0" applyFont="1" applyFill="1" applyBorder="1"/>
    <xf numFmtId="0" fontId="12" fillId="7" borderId="13" xfId="0" applyFont="1" applyFill="1" applyBorder="1" applyAlignment="1">
      <alignment horizontal="right"/>
    </xf>
    <xf numFmtId="0" fontId="12" fillId="7" borderId="14" xfId="0" applyFont="1" applyFill="1" applyBorder="1" applyAlignment="1">
      <alignment horizontal="right"/>
    </xf>
    <xf numFmtId="0" fontId="12" fillId="7" borderId="12" xfId="0" applyFont="1" applyFill="1" applyBorder="1" applyAlignment="1">
      <alignment horizontal="right"/>
    </xf>
    <xf numFmtId="0" fontId="12" fillId="7" borderId="15" xfId="0" applyFont="1" applyFill="1" applyBorder="1" applyAlignment="1">
      <alignment horizontal="right"/>
    </xf>
    <xf numFmtId="0" fontId="12" fillId="7" borderId="16" xfId="0" applyFont="1" applyFill="1" applyBorder="1" applyAlignment="1">
      <alignment horizontal="right"/>
    </xf>
    <xf numFmtId="0" fontId="9" fillId="0" borderId="3" xfId="0" applyFont="1" applyBorder="1"/>
    <xf numFmtId="0" fontId="0" fillId="8" borderId="3" xfId="0" applyFill="1" applyBorder="1"/>
    <xf numFmtId="0" fontId="0" fillId="0" borderId="3" xfId="0" applyBorder="1" applyAlignment="1">
      <alignment horizontal="right"/>
    </xf>
    <xf numFmtId="0" fontId="15" fillId="7" borderId="0" xfId="0" applyFont="1" applyFill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right"/>
    </xf>
    <xf numFmtId="164" fontId="11" fillId="0" borderId="3" xfId="1" applyNumberFormat="1" applyFont="1" applyFill="1" applyBorder="1"/>
    <xf numFmtId="164" fontId="14" fillId="0" borderId="3" xfId="1" applyNumberFormat="1" applyFont="1" applyFill="1" applyBorder="1" applyAlignment="1">
      <alignment horizontal="right"/>
    </xf>
    <xf numFmtId="164" fontId="14" fillId="0" borderId="3" xfId="1" applyNumberFormat="1" applyFont="1" applyFill="1" applyBorder="1"/>
    <xf numFmtId="165" fontId="12" fillId="7" borderId="5" xfId="1" applyNumberFormat="1" applyFont="1" applyFill="1" applyBorder="1" applyAlignment="1">
      <alignment horizontal="right"/>
    </xf>
    <xf numFmtId="0" fontId="6" fillId="0" borderId="15" xfId="0" applyFont="1" applyBorder="1"/>
    <xf numFmtId="0" fontId="0" fillId="0" borderId="0" xfId="0" applyBorder="1"/>
    <xf numFmtId="165" fontId="0" fillId="0" borderId="0" xfId="0" applyNumberFormat="1" applyBorder="1"/>
    <xf numFmtId="0" fontId="0" fillId="0" borderId="3" xfId="0" applyFont="1" applyBorder="1"/>
    <xf numFmtId="0" fontId="0" fillId="0" borderId="3" xfId="0" applyFill="1" applyBorder="1"/>
    <xf numFmtId="165" fontId="11" fillId="0" borderId="3" xfId="0" applyNumberFormat="1" applyFont="1" applyFill="1" applyBorder="1"/>
    <xf numFmtId="165" fontId="14" fillId="0" borderId="3" xfId="1" applyNumberFormat="1" applyFont="1" applyFill="1" applyBorder="1" applyAlignment="1">
      <alignment horizontal="right"/>
    </xf>
    <xf numFmtId="166" fontId="14" fillId="0" borderId="3" xfId="1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/>
    <xf numFmtId="165" fontId="14" fillId="0" borderId="3" xfId="0" applyNumberFormat="1" applyFont="1" applyFill="1" applyBorder="1"/>
    <xf numFmtId="165" fontId="14" fillId="0" borderId="3" xfId="0" applyNumberFormat="1" applyFont="1" applyFill="1" applyBorder="1" applyAlignment="1">
      <alignment horizontal="right"/>
    </xf>
    <xf numFmtId="0" fontId="16" fillId="0" borderId="0" xfId="0" applyFont="1" applyFill="1"/>
    <xf numFmtId="165" fontId="12" fillId="7" borderId="4" xfId="0" applyNumberFormat="1" applyFont="1" applyFill="1" applyBorder="1"/>
    <xf numFmtId="165" fontId="11" fillId="0" borderId="18" xfId="0" applyNumberFormat="1" applyFont="1" applyFill="1" applyBorder="1"/>
    <xf numFmtId="0" fontId="16" fillId="0" borderId="3" xfId="0" applyFont="1" applyFill="1" applyBorder="1"/>
    <xf numFmtId="0" fontId="16" fillId="0" borderId="0" xfId="0" applyFont="1"/>
    <xf numFmtId="0" fontId="16" fillId="0" borderId="3" xfId="0" applyFont="1" applyBorder="1"/>
    <xf numFmtId="164" fontId="11" fillId="0" borderId="18" xfId="1" applyNumberFormat="1" applyFont="1" applyFill="1" applyBorder="1"/>
    <xf numFmtId="43" fontId="0" fillId="0" borderId="0" xfId="0" applyNumberFormat="1"/>
    <xf numFmtId="0" fontId="17" fillId="9" borderId="3" xfId="0" applyFont="1" applyFill="1" applyBorder="1"/>
    <xf numFmtId="0" fontId="0" fillId="9" borderId="3" xfId="0" applyFill="1" applyBorder="1"/>
    <xf numFmtId="0" fontId="17" fillId="8" borderId="3" xfId="0" applyFont="1" applyFill="1" applyBorder="1"/>
    <xf numFmtId="0" fontId="6" fillId="0" borderId="3" xfId="0" applyFont="1" applyBorder="1" applyAlignment="1">
      <alignment horizontal="center" vertical="center" wrapText="1"/>
    </xf>
    <xf numFmtId="165" fontId="14" fillId="8" borderId="3" xfId="1" applyNumberFormat="1" applyFont="1" applyFill="1" applyBorder="1" applyAlignment="1">
      <alignment horizontal="right"/>
    </xf>
    <xf numFmtId="0" fontId="14" fillId="8" borderId="3" xfId="0" applyFont="1" applyFill="1" applyBorder="1"/>
    <xf numFmtId="1" fontId="14" fillId="0" borderId="3" xfId="1" applyNumberFormat="1" applyFont="1" applyFill="1" applyBorder="1" applyAlignment="1">
      <alignment horizontal="right"/>
    </xf>
    <xf numFmtId="1" fontId="14" fillId="0" borderId="3" xfId="0" applyNumberFormat="1" applyFont="1" applyFill="1" applyBorder="1"/>
    <xf numFmtId="164" fontId="12" fillId="7" borderId="4" xfId="0" applyNumberFormat="1" applyFont="1" applyFill="1" applyBorder="1"/>
    <xf numFmtId="3" fontId="14" fillId="0" borderId="3" xfId="1" applyNumberFormat="1" applyFont="1" applyFill="1" applyBorder="1" applyAlignment="1">
      <alignment horizontal="right"/>
    </xf>
    <xf numFmtId="164" fontId="14" fillId="8" borderId="3" xfId="1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vertical="center" wrapText="1"/>
    </xf>
    <xf numFmtId="0" fontId="4" fillId="8" borderId="19" xfId="0" applyFont="1" applyFill="1" applyBorder="1" applyAlignment="1">
      <alignment vertical="center" wrapText="1"/>
    </xf>
    <xf numFmtId="1" fontId="16" fillId="0" borderId="3" xfId="0" applyNumberFormat="1" applyFont="1" applyFill="1" applyBorder="1"/>
    <xf numFmtId="0" fontId="18" fillId="0" borderId="3" xfId="0" applyFont="1" applyBorder="1"/>
    <xf numFmtId="0" fontId="16" fillId="8" borderId="3" xfId="0" applyFont="1" applyFill="1" applyBorder="1"/>
    <xf numFmtId="0" fontId="16" fillId="9" borderId="3" xfId="0" applyFont="1" applyFill="1" applyBorder="1"/>
    <xf numFmtId="0" fontId="16" fillId="0" borderId="3" xfId="0" applyFont="1" applyBorder="1" applyAlignment="1">
      <alignment horizontal="right"/>
    </xf>
    <xf numFmtId="0" fontId="7" fillId="7" borderId="0" xfId="0" applyFont="1" applyFill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right"/>
    </xf>
    <xf numFmtId="0" fontId="16" fillId="8" borderId="18" xfId="0" applyFont="1" applyFill="1" applyBorder="1"/>
    <xf numFmtId="0" fontId="16" fillId="0" borderId="18" xfId="0" applyFont="1" applyFill="1" applyBorder="1"/>
    <xf numFmtId="0" fontId="16" fillId="0" borderId="19" xfId="0" applyFont="1" applyFill="1" applyBorder="1"/>
    <xf numFmtId="0" fontId="16" fillId="0" borderId="17" xfId="0" applyFont="1" applyFill="1" applyBorder="1"/>
    <xf numFmtId="0" fontId="6" fillId="4" borderId="7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6" fillId="5" borderId="7" xfId="0" applyFont="1" applyFill="1" applyBorder="1"/>
    <xf numFmtId="164" fontId="0" fillId="6" borderId="0" xfId="0" applyNumberFormat="1" applyFill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8" borderId="3" xfId="0" applyFont="1" applyFill="1" applyBorder="1" applyAlignment="1">
      <alignment horizontal="left" vertical="center" wrapText="1"/>
    </xf>
    <xf numFmtId="0" fontId="4" fillId="8" borderId="13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19" fillId="4" borderId="8" xfId="0" applyFont="1" applyFill="1" applyBorder="1"/>
    <xf numFmtId="0" fontId="19" fillId="4" borderId="4" xfId="0" applyFont="1" applyFill="1" applyBorder="1"/>
    <xf numFmtId="0" fontId="19" fillId="4" borderId="5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" xfId="0" applyFont="1" applyFill="1" applyBorder="1"/>
    <xf numFmtId="0" fontId="19" fillId="4" borderId="6" xfId="0" applyFont="1" applyFill="1" applyBorder="1"/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9" fillId="5" borderId="8" xfId="0" applyFont="1" applyFill="1" applyBorder="1"/>
    <xf numFmtId="0" fontId="19" fillId="5" borderId="4" xfId="0" applyFont="1" applyFill="1" applyBorder="1"/>
    <xf numFmtId="0" fontId="19" fillId="5" borderId="5" xfId="0" applyFont="1" applyFill="1" applyBorder="1" applyAlignment="1">
      <alignment horizontal="center" vertical="center"/>
    </xf>
    <xf numFmtId="164" fontId="19" fillId="0" borderId="0" xfId="0" applyNumberFormat="1" applyFont="1"/>
    <xf numFmtId="0" fontId="4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2" fillId="7" borderId="15" xfId="0" applyFont="1" applyFill="1" applyBorder="1" applyAlignment="1">
      <alignment horizontal="right"/>
    </xf>
    <xf numFmtId="0" fontId="12" fillId="7" borderId="12" xfId="0" applyFont="1" applyFill="1" applyBorder="1" applyAlignment="1">
      <alignment horizontal="right"/>
    </xf>
  </cellXfs>
  <cellStyles count="3">
    <cellStyle name="Normal" xfId="0" builtinId="0"/>
    <cellStyle name="Normal 5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13.xml"/><Relationship Id="rId26" Type="http://schemas.openxmlformats.org/officeDocument/2006/relationships/revisionLog" Target="revisionLog11.xml"/><Relationship Id="rId21" Type="http://schemas.openxmlformats.org/officeDocument/2006/relationships/revisionLog" Target="revisionLog111.xml"/><Relationship Id="rId17" Type="http://schemas.openxmlformats.org/officeDocument/2006/relationships/revisionLog" Target="revisionLog14.xml"/><Relationship Id="rId25" Type="http://schemas.openxmlformats.org/officeDocument/2006/relationships/revisionLog" Target="revisionLog12.xml"/><Relationship Id="rId20" Type="http://schemas.openxmlformats.org/officeDocument/2006/relationships/revisionLog" Target="revisionLog1111.xml"/><Relationship Id="rId16" Type="http://schemas.openxmlformats.org/officeDocument/2006/relationships/revisionLog" Target="revisionLog141.xml"/><Relationship Id="rId24" Type="http://schemas.openxmlformats.org/officeDocument/2006/relationships/revisionLog" Target="revisionLog121.xml"/><Relationship Id="rId23" Type="http://schemas.openxmlformats.org/officeDocument/2006/relationships/revisionLog" Target="revisionLog1211.xml"/><Relationship Id="rId19" Type="http://schemas.openxmlformats.org/officeDocument/2006/relationships/revisionLog" Target="revisionLog15.xml"/><Relationship Id="rId22" Type="http://schemas.openxmlformats.org/officeDocument/2006/relationships/revisionLog" Target="revisionLog12111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7D5533B7-B241-4DFF-B4B6-D9DB8F854016}" diskRevisions="1" revisionId="101" version="27">
  <header guid="{841ECC23-973F-4055-8A43-DEFE845FFEEF}" dateTime="2018-10-10T14:44:36" maxSheetId="18" userName="Audint - 4169" r:id="rId16" minRId="92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CC10DA15-5096-4DA3-8433-D80504BB4CB2}" dateTime="2018-10-10T16:16:47" maxSheetId="18" userName="Jade" r:id="rId17" minRId="93" maxRId="95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2A50574D-64E4-4306-ACDA-66D9D075AB66}" dateTime="2018-10-10T16:56:18" maxSheetId="18" userName="Jade" r:id="rId18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815206BA-CDDA-41B2-B138-9D13905DA807}" dateTime="2018-10-11T12:07:26" maxSheetId="18" userName="Jade" r:id="rId19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7C11CBE1-3F41-424D-9D51-86F4222F8A86}" dateTime="2018-10-11T16:33:54" maxSheetId="18" userName="Jade" r:id="rId20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DA7D757E-3B4D-4FD0-956D-9A18FA181E88}" dateTime="2018-11-13T16:16:46" maxSheetId="18" userName="Jade" r:id="rId21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5858C207-BEC2-4A8E-B305-F1190BD69F6B}" dateTime="2018-12-19T12:01:07" maxSheetId="18" userName="Jade" r:id="rId22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864A50EA-7928-423C-BB00-584D2EBCAEF8}" dateTime="2018-12-27T11:51:11" maxSheetId="18" userName="Jade" r:id="rId23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CE1F8A58-B9FF-4F4A-8D46-58A5435346BE}" dateTime="2018-12-28T14:57:45" maxSheetId="18" userName="Jade" r:id="rId24" minRId="96" maxRId="99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701EBA14-4C45-4FCA-A77D-F0EC49D9E423}" dateTime="2019-01-08T15:57:34" maxSheetId="18" userName="Jade" r:id="rId25" minRId="100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1E816926-3D7B-4703-8C47-7F8F8DCA48E6}" dateTime="2019-01-09T15:04:08" maxSheetId="18" userName="Jade" r:id="rId26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  <header guid="{7D5533B7-B241-4DFF-B4B6-D9DB8F854016}" dateTime="2019-01-30T11:16:49" maxSheetId="18" userName="Mirelle" r:id="rId27" minRId="101">
    <sheetIdMap count="17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01" sId="1">
    <oc r="B4" t="inlineStr">
      <is>
        <t>Relatório de Gestão 2017 UFPE</t>
      </is>
    </oc>
    <nc r="B4" t="inlineStr">
      <is>
        <t>Relatório de Gestão 2018 UFPE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BE4FC02B-9720-4D1A-82CA-4065D419B672}" action="delete"/>
  <rcv guid="{BE4FC02B-9720-4D1A-82CA-4065D419B672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v guid="{BE4FC02B-9720-4D1A-82CA-4065D419B672}" action="delete"/>
  <rcv guid="{BE4FC02B-9720-4D1A-82CA-4065D419B672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v guid="{BE4FC02B-9720-4D1A-82CA-4065D419B672}" action="delete"/>
  <rcv guid="{BE4FC02B-9720-4D1A-82CA-4065D419B672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100" sId="7">
    <oc r="D3" t="inlineStr">
      <is>
        <t>Avaliar a implementação do Programa de Integridade na instituição, o qual abrange as áreas de ouvidoria, ética, correição e de responsabilização (PAR). Observar a adequação dos serviços  executados pela Universidade em relação às normas que regem o tema. Verificar a existência de mecanismos de avaliação de qualidade, a suficiência dos controles internos existentes, bem como os instrumentos de governança instituídos sobre o tema.</t>
      </is>
    </oc>
    <nc r="D3" t="inlineStr">
      <is>
        <t>Avaliar a implementação do Programa de Integridade na instituição, o qual abrange as áreas de ouvidoria, ética, correição e de responsabilização (PAR). Observar a adequação dos serviços  executados pela Universidade em relação às normas que regem o tema. Verificar a existência de mecanismos de avaliação de qualidade, a suficiência dos controles internos existentes, bem como os instrumentos de governança instituídos sobre o tema. (INCLUIR O ACÓRDÃO 1943/2018-PLENÁRIO TCU NO ESCOPO)</t>
      </is>
    </nc>
  </rcc>
  <rcv guid="{BE4FC02B-9720-4D1A-82CA-4065D419B672}" action="delete"/>
  <rcv guid="{BE4FC02B-9720-4D1A-82CA-4065D419B672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96" sId="16" numFmtId="34">
    <nc r="E7">
      <v>16</v>
    </nc>
  </rcc>
  <rcc rId="97" sId="16" numFmtId="34">
    <oc r="H7">
      <v>16</v>
    </oc>
    <nc r="H7"/>
  </rcc>
  <rcc rId="98" sId="16" numFmtId="34">
    <oc r="E8">
      <v>120</v>
    </oc>
    <nc r="E8">
      <f>120-16</f>
    </nc>
  </rcc>
  <rcc rId="99" sId="16">
    <nc r="H8">
      <v>16</v>
    </nc>
  </rcc>
  <rcv guid="{BE4FC02B-9720-4D1A-82CA-4065D419B672}" action="delete"/>
  <rcv guid="{BE4FC02B-9720-4D1A-82CA-4065D419B672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v guid="{BE4FC02B-9720-4D1A-82CA-4065D419B672}" action="delete"/>
  <rcv guid="{BE4FC02B-9720-4D1A-82CA-4065D419B672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v guid="{BE4FC02B-9720-4D1A-82CA-4065D419B672}" action="delete"/>
  <rcv guid="{BE4FC02B-9720-4D1A-82CA-4065D419B672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v guid="{BE4FC02B-9720-4D1A-82CA-4065D419B672}" action="delete"/>
  <rcv guid="{BE4FC02B-9720-4D1A-82CA-4065D419B672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c rId="93" sId="7">
    <oc r="B3" t="inlineStr">
      <is>
        <t>Auditoria: serviço de informação ao cidadão - SIC</t>
      </is>
    </oc>
    <nc r="B3" t="inlineStr">
      <is>
        <t>Auditoria: Programa de Integridade/ Serviço de informação ao cidadão - SIC</t>
      </is>
    </nc>
  </rcc>
  <rcc rId="94" sId="7">
    <oc r="D3" t="inlineStr">
      <is>
        <t>Analisar a adequação dos serviços de informação ao cidadão executados pela Universidade em relação às normas que regem o tema. Verificar a existência de mecanismos de avaliação de qualidade da informação, bem como a suficiência de outros controles internos existentes.</t>
      </is>
    </oc>
    <nc r="D3" t="inlineStr">
      <is>
        <t>Avaliar a implementação do Programa de Integridade na instituição, o qual abrange as áreas de ouvidoria, ética, correição e de responsabilização (PAR). Observar a adequação dos serviços  executados pela Universidade em relação às normas que regem o tema. Verificar a existência de mecanismos de avaliação de qualidade, a suficiência dos controles internos existentes, bem como os instrumentos de governança instituídos sobre o tema.</t>
      </is>
    </nc>
  </rcc>
  <rcc rId="95" sId="7">
    <oc r="E3" t="inlineStr">
      <is>
        <t>PROCIT</t>
      </is>
    </oc>
    <nc r="E3" t="inlineStr">
      <is>
        <t>PROCIT     OUVIDORIA      SOPAD          COMISSÃO ÉTICA    COMISSÃO PAR</t>
      </is>
    </nc>
  </rcc>
  <rcv guid="{BE4FC02B-9720-4D1A-82CA-4065D419B672}" action="delete"/>
  <rcv guid="{BE4FC02B-9720-4D1A-82CA-4065D419B672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is rId="92" sheetId="17" name="[ANEXO I -PAINT 2019 - POR MACROPROCESSO.xlsx]Plan1" sheetPosition="16"/>
  <rcv guid="{96FD02FA-CE5E-4ADB-B35B-D1C6BC52FA4E}" action="delete"/>
  <rcv guid="{96FD02FA-CE5E-4ADB-B35B-D1C6BC52FA4E}" action="add"/>
</revisions>
</file>

<file path=xl/revisions/revisionLog15.xml><?xml version="1.0" encoding="utf-8"?>
<revisions xmlns="http://schemas.openxmlformats.org/spreadsheetml/2006/main" xmlns:r="http://schemas.openxmlformats.org/officeDocument/2006/relationships">
  <rcv guid="{BE4FC02B-9720-4D1A-82CA-4065D419B672}" action="delete"/>
  <rcv guid="{BE4FC02B-9720-4D1A-82CA-4065D419B672}" action="add"/>
</revisions>
</file>

<file path=xl/revisions/userNames.xml><?xml version="1.0" encoding="utf-8"?>
<users xmlns="http://schemas.openxmlformats.org/spreadsheetml/2006/main" xmlns:r="http://schemas.openxmlformats.org/officeDocument/2006/relationships" count="5">
  <userInfo guid="{841ECC23-973F-4055-8A43-DEFE845FFEEF}" name="Mirelle" id="-290303342" dateTime="2018-10-10T15:52:38"/>
  <userInfo guid="{DA7D757E-3B4D-4FD0-956D-9A18FA181E88}" name="Mirelle" id="-290262149" dateTime="2018-11-20T16:20:14"/>
  <userInfo guid="{DA7D757E-3B4D-4FD0-956D-9A18FA181E88}" name="Mirelle" id="-290319674" dateTime="2018-11-21T08:38:56"/>
  <userInfo guid="{DA7D757E-3B4D-4FD0-956D-9A18FA181E88}" name="Mirelle" id="-290303716" dateTime="2018-11-21T14:54:15"/>
  <userInfo guid="{7D5533B7-B241-4DFF-B4B6-D9DB8F854016}" name="Jade" id="-902887592" dateTime="2019-01-30T11:22:45"/>
</user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pane ySplit="3" topLeftCell="A4" activePane="bottomLeft" state="frozen"/>
      <selection pane="bottomLeft" activeCell="B3" sqref="B3"/>
    </sheetView>
  </sheetViews>
  <sheetFormatPr defaultRowHeight="12.75"/>
  <cols>
    <col min="1" max="1" width="11.5703125" style="6" customWidth="1"/>
    <col min="2" max="2" width="18.5703125" style="6" customWidth="1"/>
    <col min="3" max="3" width="14.42578125" style="6" customWidth="1"/>
    <col min="4" max="4" width="25.140625" style="6" customWidth="1"/>
    <col min="5" max="5" width="18" style="6" customWidth="1"/>
    <col min="6" max="6" width="14.42578125" style="6" customWidth="1"/>
    <col min="7" max="7" width="18.7109375" style="6" customWidth="1"/>
    <col min="8" max="8" width="13.7109375" style="6" customWidth="1"/>
    <col min="9" max="16384" width="9.140625" style="6"/>
  </cols>
  <sheetData>
    <row r="1" spans="1:8" ht="27" customHeight="1">
      <c r="A1" s="120" t="s">
        <v>47</v>
      </c>
      <c r="B1" s="121"/>
      <c r="C1" s="121"/>
      <c r="D1" s="121"/>
      <c r="E1" s="121"/>
      <c r="F1" s="121"/>
      <c r="G1" s="121"/>
      <c r="H1" s="122"/>
    </row>
    <row r="2" spans="1:8" ht="19.5" customHeight="1">
      <c r="A2" s="123" t="s">
        <v>46</v>
      </c>
      <c r="B2" s="124"/>
      <c r="C2" s="124"/>
      <c r="D2" s="124"/>
      <c r="E2" s="124"/>
      <c r="F2" s="124"/>
      <c r="G2" s="124"/>
      <c r="H2" s="125"/>
    </row>
    <row r="3" spans="1:8" ht="51">
      <c r="A3" s="1" t="s">
        <v>0</v>
      </c>
      <c r="B3" s="2" t="s">
        <v>33</v>
      </c>
      <c r="C3" s="2" t="s">
        <v>19</v>
      </c>
      <c r="D3" s="2" t="s">
        <v>3</v>
      </c>
      <c r="E3" s="2" t="s">
        <v>34</v>
      </c>
      <c r="F3" s="2" t="s">
        <v>4</v>
      </c>
      <c r="G3" s="2" t="s">
        <v>5</v>
      </c>
      <c r="H3" s="2" t="s">
        <v>12</v>
      </c>
    </row>
    <row r="4" spans="1:8" ht="118.5" customHeight="1">
      <c r="A4" s="3">
        <v>1</v>
      </c>
      <c r="B4" s="4" t="s">
        <v>87</v>
      </c>
      <c r="C4" s="4" t="s">
        <v>11</v>
      </c>
      <c r="D4" s="4" t="s">
        <v>188</v>
      </c>
      <c r="E4" s="4" t="s">
        <v>32</v>
      </c>
      <c r="F4" s="4" t="s">
        <v>14</v>
      </c>
      <c r="G4" s="10">
        <f>112+115+20+40</f>
        <v>287</v>
      </c>
      <c r="H4" s="4" t="s">
        <v>152</v>
      </c>
    </row>
    <row r="5" spans="1:8" ht="78" customHeight="1">
      <c r="A5" s="3">
        <v>2</v>
      </c>
      <c r="B5" s="4" t="s">
        <v>139</v>
      </c>
      <c r="C5" s="4" t="s">
        <v>29</v>
      </c>
      <c r="D5" s="4" t="s">
        <v>187</v>
      </c>
      <c r="E5" s="4" t="s">
        <v>6</v>
      </c>
      <c r="F5" s="4" t="s">
        <v>30</v>
      </c>
      <c r="G5" s="10">
        <f>187+100+32+40</f>
        <v>359</v>
      </c>
      <c r="H5" s="4" t="s">
        <v>152</v>
      </c>
    </row>
    <row r="6" spans="1:8" ht="67.5" customHeight="1">
      <c r="A6" s="3">
        <v>3</v>
      </c>
      <c r="B6" s="4" t="s">
        <v>140</v>
      </c>
      <c r="C6" s="4" t="s">
        <v>29</v>
      </c>
      <c r="D6" s="4" t="s">
        <v>16</v>
      </c>
      <c r="E6" s="4" t="s">
        <v>6</v>
      </c>
      <c r="F6" s="4" t="s">
        <v>26</v>
      </c>
      <c r="G6" s="10">
        <f>277+80+103+48+16</f>
        <v>524</v>
      </c>
      <c r="H6" s="4" t="s">
        <v>154</v>
      </c>
    </row>
    <row r="7" spans="1:8" ht="60.75" customHeight="1">
      <c r="A7" s="3">
        <v>4</v>
      </c>
      <c r="B7" s="4" t="s">
        <v>13</v>
      </c>
      <c r="C7" s="4" t="s">
        <v>11</v>
      </c>
      <c r="D7" s="4" t="s">
        <v>17</v>
      </c>
      <c r="E7" s="4" t="s">
        <v>6</v>
      </c>
      <c r="F7" s="4" t="s">
        <v>25</v>
      </c>
      <c r="G7" s="10">
        <f>50+115</f>
        <v>165</v>
      </c>
      <c r="H7" s="4" t="s">
        <v>136</v>
      </c>
    </row>
    <row r="8" spans="1:8" ht="114.75" customHeight="1">
      <c r="A8" s="3">
        <v>5</v>
      </c>
      <c r="B8" s="4" t="s">
        <v>49</v>
      </c>
      <c r="C8" s="4" t="s">
        <v>11</v>
      </c>
      <c r="D8" s="4" t="s">
        <v>48</v>
      </c>
      <c r="E8" s="4" t="s">
        <v>6</v>
      </c>
      <c r="F8" s="4" t="s">
        <v>25</v>
      </c>
      <c r="G8" s="10">
        <f>40+198</f>
        <v>238</v>
      </c>
      <c r="H8" s="4" t="s">
        <v>136</v>
      </c>
    </row>
    <row r="9" spans="1:8" ht="78" customHeight="1">
      <c r="A9" s="3">
        <v>6</v>
      </c>
      <c r="B9" s="4" t="s">
        <v>20</v>
      </c>
      <c r="C9" s="4" t="s">
        <v>29</v>
      </c>
      <c r="D9" s="4" t="s">
        <v>31</v>
      </c>
      <c r="E9" s="4" t="s">
        <v>6</v>
      </c>
      <c r="F9" s="4" t="s">
        <v>25</v>
      </c>
      <c r="G9" s="11">
        <f>164+558</f>
        <v>722</v>
      </c>
      <c r="H9" s="4" t="s">
        <v>136</v>
      </c>
    </row>
    <row r="10" spans="1:8" ht="79.5" customHeight="1">
      <c r="A10" s="3">
        <v>7</v>
      </c>
      <c r="B10" s="4" t="s">
        <v>21</v>
      </c>
      <c r="C10" s="4" t="s">
        <v>29</v>
      </c>
      <c r="D10" s="4" t="s">
        <v>28</v>
      </c>
      <c r="E10" s="4" t="s">
        <v>6</v>
      </c>
      <c r="F10" s="4" t="s">
        <v>27</v>
      </c>
      <c r="G10" s="10">
        <f>60+20</f>
        <v>80</v>
      </c>
      <c r="H10" s="4" t="s">
        <v>136</v>
      </c>
    </row>
    <row r="11" spans="1:8" s="97" customFormat="1" ht="20.25" customHeight="1">
      <c r="A11" s="116"/>
      <c r="B11" s="116"/>
      <c r="C11" s="116"/>
      <c r="D11" s="120" t="s">
        <v>15</v>
      </c>
      <c r="E11" s="121"/>
      <c r="F11" s="122"/>
      <c r="G11" s="101">
        <f>SUM(G4:G10)</f>
        <v>2375</v>
      </c>
      <c r="H11" s="116"/>
    </row>
    <row r="13" spans="1:8">
      <c r="G13" s="16"/>
    </row>
    <row r="14" spans="1:8">
      <c r="G14" s="9"/>
    </row>
  </sheetData>
  <customSheetViews>
    <customSheetView guid="{96FD02FA-CE5E-4ADB-B35B-D1C6BC52FA4E}">
      <pane ySplit="3" topLeftCell="A7" activePane="bottomLeft" state="frozen"/>
      <selection pane="bottomLeft" activeCell="H6" sqref="H6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>
      <pane ySplit="3" topLeftCell="A4" activePane="bottomLeft" state="frozen"/>
      <selection pane="bottomLeft" activeCell="M7" sqref="M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E490CE09-6BB1-4620-A237-C73B1B997924}">
      <pane ySplit="2" topLeftCell="A7" activePane="bottomLeft" state="frozen"/>
      <selection pane="bottomLeft" activeCell="C15" sqref="C1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427ED699-5E31-443D-B20E-3E67EC9E8F93}">
      <pane ySplit="2" topLeftCell="A9" activePane="bottomLeft" state="frozen"/>
      <selection pane="bottomLeft" activeCell="E20" sqref="E2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0BE8A49B-CCD8-4D2B-924B-C3C981B84E5F}">
      <pane ySplit="3" topLeftCell="A7" activePane="bottomLeft" state="frozen"/>
      <selection pane="bottomLeft" activeCell="G12" sqref="G1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  <customSheetView guid="{8E208870-C947-48A4-A7D0-07C1A1950AA9}">
      <pane ySplit="3" topLeftCell="A10" activePane="bottomLeft" state="frozen"/>
      <selection pane="bottomLeft" activeCell="B10" sqref="B1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6"/>
    </customSheetView>
    <customSheetView guid="{BE4FC02B-9720-4D1A-82CA-4065D419B672}" showPageBreaks="1">
      <pane ySplit="3" topLeftCell="A4" activePane="bottomLeft" state="frozen"/>
      <selection pane="bottomLeft" activeCell="B4" sqref="B4"/>
      <pageMargins left="0.51181102362204722" right="0.51181102362204722" top="0.55000000000000004" bottom="0.78740157480314965" header="0.31496062992125984" footer="0.31496062992125984"/>
      <pageSetup paperSize="9" orientation="landscape" horizontalDpi="4294967294" verticalDpi="4294967294" r:id="rId7"/>
    </customSheetView>
  </customSheetViews>
  <mergeCells count="3">
    <mergeCell ref="A1:H1"/>
    <mergeCell ref="A2:H2"/>
    <mergeCell ref="D11:F1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8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G5" sqref="G5"/>
    </sheetView>
  </sheetViews>
  <sheetFormatPr defaultRowHeight="12.75"/>
  <cols>
    <col min="1" max="1" width="9.140625" style="6" customWidth="1"/>
    <col min="2" max="2" width="16.7109375" style="6" customWidth="1"/>
    <col min="3" max="3" width="14.42578125" style="6" customWidth="1"/>
    <col min="4" max="4" width="26.7109375" style="6" customWidth="1"/>
    <col min="5" max="5" width="18" style="6" customWidth="1"/>
    <col min="6" max="6" width="14.42578125" style="6" customWidth="1"/>
    <col min="7" max="7" width="16.85546875" style="6" customWidth="1"/>
    <col min="8" max="8" width="13.7109375" style="6" customWidth="1"/>
    <col min="9" max="16384" width="9.140625" style="6"/>
  </cols>
  <sheetData>
    <row r="1" spans="1:13" ht="24.75" customHeight="1">
      <c r="A1" s="126" t="s">
        <v>35</v>
      </c>
      <c r="B1" s="126"/>
      <c r="C1" s="126"/>
      <c r="D1" s="126"/>
      <c r="E1" s="126"/>
      <c r="F1" s="126"/>
      <c r="G1" s="126"/>
      <c r="H1" s="126"/>
    </row>
    <row r="2" spans="1:13" ht="51">
      <c r="A2" s="1" t="s">
        <v>0</v>
      </c>
      <c r="B2" s="2" t="s">
        <v>33</v>
      </c>
      <c r="C2" s="2" t="s">
        <v>19</v>
      </c>
      <c r="D2" s="2" t="s">
        <v>3</v>
      </c>
      <c r="E2" s="2" t="s">
        <v>34</v>
      </c>
      <c r="F2" s="2" t="s">
        <v>4</v>
      </c>
      <c r="G2" s="2" t="s">
        <v>5</v>
      </c>
      <c r="H2" s="2" t="s">
        <v>12</v>
      </c>
    </row>
    <row r="3" spans="1:13" ht="68.25" customHeight="1">
      <c r="A3" s="3">
        <v>37</v>
      </c>
      <c r="B3" s="4" t="s">
        <v>98</v>
      </c>
      <c r="C3" s="4" t="s">
        <v>157</v>
      </c>
      <c r="D3" s="4" t="s">
        <v>158</v>
      </c>
      <c r="E3" s="4" t="s">
        <v>159</v>
      </c>
      <c r="F3" s="4" t="s">
        <v>182</v>
      </c>
      <c r="G3" s="10">
        <f>40+10</f>
        <v>50</v>
      </c>
      <c r="H3" s="4" t="s">
        <v>147</v>
      </c>
      <c r="M3" s="16"/>
    </row>
    <row r="4" spans="1:13" ht="65.25" customHeight="1">
      <c r="A4" s="3">
        <v>38</v>
      </c>
      <c r="B4" s="4" t="s">
        <v>146</v>
      </c>
      <c r="C4" s="4" t="s">
        <v>157</v>
      </c>
      <c r="D4" s="4" t="s">
        <v>158</v>
      </c>
      <c r="E4" s="4" t="s">
        <v>159</v>
      </c>
      <c r="F4" s="4" t="s">
        <v>185</v>
      </c>
      <c r="G4" s="10">
        <f>30+40</f>
        <v>70</v>
      </c>
      <c r="H4" s="4" t="s">
        <v>147</v>
      </c>
      <c r="M4" s="16"/>
    </row>
    <row r="5" spans="1:13" ht="81" customHeight="1">
      <c r="A5" s="10">
        <v>39</v>
      </c>
      <c r="B5" s="4" t="s">
        <v>116</v>
      </c>
      <c r="C5" s="4" t="s">
        <v>157</v>
      </c>
      <c r="D5" s="111" t="s">
        <v>158</v>
      </c>
      <c r="E5" s="111" t="s">
        <v>159</v>
      </c>
      <c r="F5" s="112" t="s">
        <v>51</v>
      </c>
      <c r="G5" s="15">
        <f>16</f>
        <v>16</v>
      </c>
      <c r="H5" s="4" t="s">
        <v>23</v>
      </c>
    </row>
    <row r="6" spans="1:13" ht="17.25" customHeight="1">
      <c r="A6" s="7"/>
      <c r="B6" s="7"/>
      <c r="C6" s="7"/>
      <c r="D6" s="8"/>
      <c r="E6" s="103" t="s">
        <v>15</v>
      </c>
      <c r="F6" s="104"/>
      <c r="G6" s="113">
        <f>SUM(G3:G5)</f>
        <v>136</v>
      </c>
      <c r="H6" s="7"/>
    </row>
    <row r="7" spans="1:13">
      <c r="E7" s="106"/>
      <c r="F7" s="106"/>
      <c r="G7" s="106"/>
    </row>
    <row r="8" spans="1:13">
      <c r="G8" s="16"/>
    </row>
    <row r="9" spans="1:13">
      <c r="G9" s="9"/>
    </row>
  </sheetData>
  <customSheetViews>
    <customSheetView guid="{96FD02FA-CE5E-4ADB-B35B-D1C6BC52FA4E}">
      <selection activeCell="F2" sqref="F2:H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>
      <selection activeCell="A6" sqref="A6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G5" sqref="G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8E208870-C947-48A4-A7D0-07C1A1950AA9}">
      <selection activeCell="G5" sqref="G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BE4FC02B-9720-4D1A-82CA-4065D419B672}" showPageBreaks="1">
      <selection activeCell="A6" sqref="A6"/>
      <pageMargins left="0.51181102362204722" right="0.51181102362204722" top="0.57999999999999996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6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O8" sqref="O8"/>
    </sheetView>
  </sheetViews>
  <sheetFormatPr defaultRowHeight="12.75"/>
  <cols>
    <col min="1" max="1" width="7.28515625" style="6" bestFit="1" customWidth="1"/>
    <col min="2" max="2" width="24.28515625" style="6" customWidth="1"/>
    <col min="3" max="3" width="17.140625" style="6" customWidth="1"/>
    <col min="4" max="4" width="26.85546875" style="6" customWidth="1"/>
    <col min="5" max="5" width="17.42578125" style="6" customWidth="1"/>
    <col min="6" max="6" width="11.85546875" style="6" customWidth="1"/>
    <col min="7" max="7" width="14.140625" style="6" customWidth="1"/>
    <col min="8" max="8" width="15" style="6" customWidth="1"/>
    <col min="9" max="16384" width="9.140625" style="6"/>
  </cols>
  <sheetData>
    <row r="1" spans="1:8" ht="22.5" customHeight="1">
      <c r="A1" s="126" t="s">
        <v>41</v>
      </c>
      <c r="B1" s="126"/>
      <c r="C1" s="126"/>
      <c r="D1" s="126"/>
      <c r="E1" s="126"/>
      <c r="F1" s="126"/>
      <c r="G1" s="126"/>
      <c r="H1" s="126"/>
    </row>
    <row r="2" spans="1:8" ht="21.75" customHeight="1">
      <c r="A2" s="1" t="s">
        <v>0</v>
      </c>
      <c r="B2" s="2" t="s">
        <v>1</v>
      </c>
      <c r="C2" s="2" t="s">
        <v>19</v>
      </c>
      <c r="D2" s="2" t="s">
        <v>3</v>
      </c>
      <c r="E2" s="2" t="s">
        <v>18</v>
      </c>
      <c r="F2" s="2" t="s">
        <v>4</v>
      </c>
      <c r="G2" s="2" t="s">
        <v>5</v>
      </c>
      <c r="H2" s="2" t="s">
        <v>12</v>
      </c>
    </row>
    <row r="3" spans="1:8" ht="122.25" customHeight="1">
      <c r="A3" s="3">
        <v>40</v>
      </c>
      <c r="B3" s="4" t="s">
        <v>131</v>
      </c>
      <c r="C3" s="4" t="s">
        <v>6</v>
      </c>
      <c r="D3" s="4" t="s">
        <v>132</v>
      </c>
      <c r="E3" s="4" t="s">
        <v>6</v>
      </c>
      <c r="F3" s="4" t="s">
        <v>169</v>
      </c>
      <c r="G3" s="10">
        <f>176+40</f>
        <v>216</v>
      </c>
      <c r="H3" s="4" t="s">
        <v>136</v>
      </c>
    </row>
    <row r="4" spans="1:8" ht="72" customHeight="1">
      <c r="A4" s="3">
        <v>41</v>
      </c>
      <c r="B4" s="4" t="s">
        <v>133</v>
      </c>
      <c r="C4" s="4" t="s">
        <v>6</v>
      </c>
      <c r="D4" s="4" t="s">
        <v>134</v>
      </c>
      <c r="E4" s="4" t="s">
        <v>6</v>
      </c>
      <c r="F4" s="4" t="s">
        <v>169</v>
      </c>
      <c r="G4" s="13">
        <f>120+120+120+120+120</f>
        <v>600</v>
      </c>
      <c r="H4" s="4" t="s">
        <v>148</v>
      </c>
    </row>
    <row r="5" spans="1:8" ht="69" customHeight="1">
      <c r="A5" s="4">
        <v>42</v>
      </c>
      <c r="B5" s="4" t="s">
        <v>92</v>
      </c>
      <c r="C5" s="4" t="s">
        <v>6</v>
      </c>
      <c r="D5" s="4" t="s">
        <v>137</v>
      </c>
      <c r="E5" s="4" t="s">
        <v>186</v>
      </c>
      <c r="F5" s="4" t="s">
        <v>169</v>
      </c>
      <c r="G5" s="10">
        <f>61</f>
        <v>61</v>
      </c>
      <c r="H5" s="4" t="s">
        <v>10</v>
      </c>
    </row>
    <row r="6" spans="1:8" ht="48" customHeight="1">
      <c r="A6" s="3">
        <v>43</v>
      </c>
      <c r="B6" s="4" t="s">
        <v>85</v>
      </c>
      <c r="C6" s="4" t="s">
        <v>150</v>
      </c>
      <c r="D6" s="4" t="s">
        <v>138</v>
      </c>
      <c r="E6" s="61" t="s">
        <v>6</v>
      </c>
      <c r="F6" s="4" t="s">
        <v>169</v>
      </c>
      <c r="G6" s="11">
        <f>269+268</f>
        <v>537</v>
      </c>
      <c r="H6" s="4" t="s">
        <v>136</v>
      </c>
    </row>
    <row r="7" spans="1:8" ht="102" customHeight="1">
      <c r="A7" s="3">
        <v>44</v>
      </c>
      <c r="B7" s="4" t="s">
        <v>100</v>
      </c>
      <c r="C7" s="4" t="s">
        <v>6</v>
      </c>
      <c r="D7" s="4" t="s">
        <v>135</v>
      </c>
      <c r="E7" s="61" t="s">
        <v>6</v>
      </c>
      <c r="F7" s="4" t="s">
        <v>169</v>
      </c>
      <c r="G7" s="11">
        <f>160+48+48+40+48</f>
        <v>344</v>
      </c>
      <c r="H7" s="4" t="s">
        <v>148</v>
      </c>
    </row>
    <row r="8" spans="1:8" ht="63.75" customHeight="1">
      <c r="A8" s="3">
        <v>45</v>
      </c>
      <c r="B8" s="4" t="s">
        <v>101</v>
      </c>
      <c r="C8" s="4" t="s">
        <v>151</v>
      </c>
      <c r="D8" s="4" t="s">
        <v>174</v>
      </c>
      <c r="E8" s="61" t="s">
        <v>6</v>
      </c>
      <c r="F8" s="4" t="s">
        <v>172</v>
      </c>
      <c r="G8" s="11">
        <f>70</f>
        <v>70</v>
      </c>
      <c r="H8" s="4" t="s">
        <v>149</v>
      </c>
    </row>
    <row r="9" spans="1:8" ht="70.5" customHeight="1">
      <c r="A9" s="3">
        <v>46</v>
      </c>
      <c r="B9" s="4" t="s">
        <v>102</v>
      </c>
      <c r="C9" s="4" t="s">
        <v>150</v>
      </c>
      <c r="D9" s="111" t="s">
        <v>203</v>
      </c>
      <c r="E9" s="114" t="s">
        <v>6</v>
      </c>
      <c r="F9" s="111" t="s">
        <v>169</v>
      </c>
      <c r="G9" s="115">
        <f>177+184+170</f>
        <v>531</v>
      </c>
      <c r="H9" s="4" t="s">
        <v>153</v>
      </c>
    </row>
    <row r="10" spans="1:8">
      <c r="D10" s="8"/>
      <c r="E10" s="103" t="s">
        <v>15</v>
      </c>
      <c r="F10" s="103"/>
      <c r="G10" s="101">
        <f>SUM(G3:G9)</f>
        <v>2359</v>
      </c>
    </row>
    <row r="11" spans="1:8">
      <c r="G11" s="96"/>
    </row>
  </sheetData>
  <customSheetViews>
    <customSheetView guid="{96FD02FA-CE5E-4ADB-B35B-D1C6BC52FA4E}" topLeftCell="A4">
      <selection activeCell="F2" sqref="F2:H9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1"/>
    </customSheetView>
    <customSheetView guid="{B01252BE-60D1-4D61-8D54-18CA35878812}" topLeftCell="A4">
      <selection activeCell="G10" sqref="G10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2"/>
    </customSheetView>
    <customSheetView guid="{E490CE09-6BB1-4620-A237-C73B1B997924}">
      <selection activeCell="G3" sqref="G3:G4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3"/>
    </customSheetView>
    <customSheetView guid="{427ED699-5E31-443D-B20E-3E67EC9E8F93}">
      <selection activeCell="E11" sqref="E11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4"/>
    </customSheetView>
    <customSheetView guid="{0BE8A49B-CCD8-4D2B-924B-C3C981B84E5F}">
      <selection activeCell="O8" sqref="O8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5"/>
    </customSheetView>
    <customSheetView guid="{8E208870-C947-48A4-A7D0-07C1A1950AA9}" topLeftCell="A4">
      <selection activeCell="G9" sqref="G9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6"/>
    </customSheetView>
    <customSheetView guid="{BE4FC02B-9720-4D1A-82CA-4065D419B672}" showPageBreaks="1">
      <selection activeCell="D10" sqref="D10"/>
      <pageMargins left="0.511811024" right="0.511811024" top="0.53" bottom="0.78740157499999996" header="0.31496062000000002" footer="0.31496062000000002"/>
      <pageSetup paperSize="9" orientation="landscape" horizontalDpi="4294967294" verticalDpi="4294967294" r:id="rId7"/>
    </customSheetView>
  </customSheetViews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landscape" horizontalDpi="4294967294" verticalDpi="4294967294" r:id="rId8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24" sqref="C24"/>
    </sheetView>
  </sheetViews>
  <sheetFormatPr defaultRowHeight="15"/>
  <cols>
    <col min="1" max="1" width="9.140625" style="6"/>
    <col min="2" max="2" width="38.7109375" customWidth="1"/>
  </cols>
  <sheetData>
    <row r="1" spans="1:15">
      <c r="A1" s="130" t="s">
        <v>10</v>
      </c>
      <c r="B1" s="130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>
      <c r="A2" s="131"/>
      <c r="B2" s="132"/>
      <c r="C2" s="22" t="s">
        <v>50</v>
      </c>
      <c r="D2" s="23" t="s">
        <v>7</v>
      </c>
      <c r="E2" s="24" t="s">
        <v>51</v>
      </c>
      <c r="F2" s="24" t="s">
        <v>52</v>
      </c>
      <c r="G2" s="25" t="s">
        <v>53</v>
      </c>
      <c r="H2" s="25" t="s">
        <v>54</v>
      </c>
      <c r="I2" s="24" t="s">
        <v>55</v>
      </c>
      <c r="J2" s="26" t="s">
        <v>56</v>
      </c>
      <c r="K2" s="26" t="s">
        <v>57</v>
      </c>
      <c r="L2" s="25" t="s">
        <v>8</v>
      </c>
      <c r="M2" s="23" t="s">
        <v>58</v>
      </c>
      <c r="N2" s="23" t="s">
        <v>9</v>
      </c>
      <c r="O2" s="27" t="s">
        <v>59</v>
      </c>
    </row>
    <row r="3" spans="1:15">
      <c r="A3" s="133" t="s">
        <v>60</v>
      </c>
      <c r="B3" s="134"/>
      <c r="C3" s="28">
        <f>SUM(D3:O3)</f>
        <v>227</v>
      </c>
      <c r="D3" s="58">
        <v>19</v>
      </c>
      <c r="E3" s="29">
        <v>20</v>
      </c>
      <c r="F3" s="29">
        <v>18</v>
      </c>
      <c r="G3" s="58">
        <v>16</v>
      </c>
      <c r="H3" s="29">
        <v>22</v>
      </c>
      <c r="I3" s="29">
        <v>19</v>
      </c>
      <c r="J3" s="29">
        <v>23</v>
      </c>
      <c r="K3" s="29">
        <v>22</v>
      </c>
      <c r="L3" s="59">
        <v>5</v>
      </c>
      <c r="M3" s="60">
        <v>22</v>
      </c>
      <c r="N3" s="29">
        <v>20</v>
      </c>
      <c r="O3" s="29">
        <v>21</v>
      </c>
    </row>
    <row r="4" spans="1:15">
      <c r="A4" s="135" t="s">
        <v>61</v>
      </c>
      <c r="B4" s="134"/>
      <c r="C4" s="28">
        <f>SUM(D4:O4)</f>
        <v>1816</v>
      </c>
      <c r="D4" s="30">
        <f t="shared" ref="D4:O4" si="0">D3*8</f>
        <v>152</v>
      </c>
      <c r="E4" s="30">
        <f t="shared" si="0"/>
        <v>160</v>
      </c>
      <c r="F4" s="30">
        <f t="shared" si="0"/>
        <v>144</v>
      </c>
      <c r="G4" s="30">
        <f t="shared" si="0"/>
        <v>128</v>
      </c>
      <c r="H4" s="30">
        <f t="shared" si="0"/>
        <v>176</v>
      </c>
      <c r="I4" s="30">
        <f t="shared" si="0"/>
        <v>152</v>
      </c>
      <c r="J4" s="30">
        <f t="shared" si="0"/>
        <v>184</v>
      </c>
      <c r="K4" s="30">
        <f t="shared" si="0"/>
        <v>176</v>
      </c>
      <c r="L4" s="30">
        <f t="shared" si="0"/>
        <v>40</v>
      </c>
      <c r="M4" s="30">
        <f t="shared" si="0"/>
        <v>176</v>
      </c>
      <c r="N4" s="30">
        <f t="shared" si="0"/>
        <v>160</v>
      </c>
      <c r="O4" s="30">
        <f t="shared" si="0"/>
        <v>168</v>
      </c>
    </row>
    <row r="5" spans="1:15">
      <c r="A5" s="31" t="s">
        <v>62</v>
      </c>
      <c r="B5" s="32" t="s">
        <v>63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21.75" customHeight="1">
      <c r="A6" s="13">
        <v>1</v>
      </c>
      <c r="B6" s="69" t="s">
        <v>87</v>
      </c>
      <c r="C6" s="34">
        <f t="shared" ref="C6:C16" si="1">SUM(D6:O6)</f>
        <v>112</v>
      </c>
      <c r="D6" s="35">
        <v>62</v>
      </c>
      <c r="E6" s="35">
        <v>50</v>
      </c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21.75" customHeight="1">
      <c r="A7" s="13">
        <v>2</v>
      </c>
      <c r="B7" s="69" t="s">
        <v>93</v>
      </c>
      <c r="C7" s="34">
        <f t="shared" si="1"/>
        <v>187</v>
      </c>
      <c r="D7" s="35">
        <v>54</v>
      </c>
      <c r="E7" s="35">
        <v>69</v>
      </c>
      <c r="F7" s="35">
        <v>14</v>
      </c>
      <c r="G7" s="35">
        <v>20</v>
      </c>
      <c r="H7" s="35"/>
      <c r="I7" s="35"/>
      <c r="J7" s="35">
        <v>20</v>
      </c>
      <c r="K7" s="35"/>
      <c r="L7" s="35"/>
      <c r="M7" s="35">
        <v>10</v>
      </c>
      <c r="N7" s="35"/>
      <c r="O7" s="35"/>
    </row>
    <row r="8" spans="1:15" ht="21.75" customHeight="1">
      <c r="A8" s="13">
        <v>3</v>
      </c>
      <c r="B8" s="70" t="s">
        <v>127</v>
      </c>
      <c r="C8" s="34">
        <f>SUM(D8:O8)</f>
        <v>277</v>
      </c>
      <c r="D8" s="35"/>
      <c r="E8" s="35"/>
      <c r="F8" s="35"/>
      <c r="G8" s="35"/>
      <c r="H8" s="35"/>
      <c r="I8" s="35"/>
      <c r="J8" s="36">
        <v>50</v>
      </c>
      <c r="K8" s="36">
        <v>70</v>
      </c>
      <c r="L8" s="35">
        <v>25</v>
      </c>
      <c r="M8" s="35">
        <v>121</v>
      </c>
      <c r="N8" s="36">
        <v>11</v>
      </c>
      <c r="O8" s="36"/>
    </row>
    <row r="9" spans="1:15" ht="21.75" customHeight="1">
      <c r="A9" s="13">
        <v>4</v>
      </c>
      <c r="B9" s="69" t="s">
        <v>13</v>
      </c>
      <c r="C9" s="34">
        <f t="shared" si="1"/>
        <v>50</v>
      </c>
      <c r="D9" s="35"/>
      <c r="E9" s="35">
        <v>10</v>
      </c>
      <c r="F9" s="35">
        <v>10</v>
      </c>
      <c r="G9" s="35"/>
      <c r="H9" s="35">
        <v>10</v>
      </c>
      <c r="I9" s="35"/>
      <c r="J9" s="36">
        <v>10</v>
      </c>
      <c r="K9" s="36"/>
      <c r="L9" s="35"/>
      <c r="M9" s="35"/>
      <c r="N9" s="36">
        <v>10</v>
      </c>
      <c r="O9" s="36"/>
    </row>
    <row r="10" spans="1:15" ht="25.5">
      <c r="A10" s="13">
        <v>5</v>
      </c>
      <c r="B10" s="69" t="s">
        <v>49</v>
      </c>
      <c r="C10" s="43">
        <f>SUM(D10:O10)</f>
        <v>40</v>
      </c>
      <c r="D10" s="44"/>
      <c r="E10" s="44"/>
      <c r="F10" s="44">
        <v>10</v>
      </c>
      <c r="G10" s="44"/>
      <c r="H10" s="44">
        <v>10</v>
      </c>
      <c r="I10" s="44"/>
      <c r="J10" s="44">
        <v>10</v>
      </c>
      <c r="K10" s="44"/>
      <c r="L10" s="44"/>
      <c r="M10" s="44"/>
      <c r="N10" s="44">
        <v>10</v>
      </c>
      <c r="O10" s="44"/>
    </row>
    <row r="11" spans="1:15" ht="33" customHeight="1">
      <c r="A11" s="13">
        <v>6</v>
      </c>
      <c r="B11" s="69" t="s">
        <v>20</v>
      </c>
      <c r="C11" s="34">
        <f t="shared" si="1"/>
        <v>164</v>
      </c>
      <c r="D11" s="35">
        <v>10</v>
      </c>
      <c r="E11" s="35">
        <v>10</v>
      </c>
      <c r="F11" s="35">
        <v>10</v>
      </c>
      <c r="G11" s="35">
        <v>30</v>
      </c>
      <c r="H11" s="35">
        <v>30</v>
      </c>
      <c r="I11" s="35">
        <v>20</v>
      </c>
      <c r="J11" s="35">
        <v>10</v>
      </c>
      <c r="K11" s="35">
        <v>10</v>
      </c>
      <c r="L11" s="35"/>
      <c r="M11" s="35">
        <v>10</v>
      </c>
      <c r="N11" s="35">
        <v>14</v>
      </c>
      <c r="O11" s="35">
        <v>10</v>
      </c>
    </row>
    <row r="12" spans="1:15" ht="30.75" customHeight="1">
      <c r="A12" s="13">
        <v>7</v>
      </c>
      <c r="B12" s="69" t="s">
        <v>90</v>
      </c>
      <c r="C12" s="34">
        <f>SUM(D12:O12)</f>
        <v>60</v>
      </c>
      <c r="D12" s="35"/>
      <c r="E12" s="35"/>
      <c r="F12" s="35"/>
      <c r="G12" s="35"/>
      <c r="H12" s="35"/>
      <c r="I12" s="35">
        <v>30</v>
      </c>
      <c r="J12" s="36"/>
      <c r="K12" s="36"/>
      <c r="L12" s="35"/>
      <c r="M12" s="35"/>
      <c r="N12" s="36"/>
      <c r="O12" s="35">
        <v>30</v>
      </c>
    </row>
    <row r="13" spans="1:15" ht="33" customHeight="1">
      <c r="A13" s="13">
        <v>37</v>
      </c>
      <c r="B13" s="71" t="s">
        <v>96</v>
      </c>
      <c r="C13" s="34">
        <f t="shared" si="1"/>
        <v>40</v>
      </c>
      <c r="D13" s="35"/>
      <c r="E13" s="35"/>
      <c r="F13" s="35">
        <v>20</v>
      </c>
      <c r="G13" s="35"/>
      <c r="H13" s="35"/>
      <c r="I13" s="35"/>
      <c r="J13" s="35">
        <v>20</v>
      </c>
      <c r="K13" s="35"/>
      <c r="L13" s="35"/>
      <c r="M13" s="35"/>
      <c r="N13" s="35"/>
      <c r="O13" s="35"/>
    </row>
    <row r="14" spans="1:15" ht="33" customHeight="1">
      <c r="A14" s="13">
        <v>38</v>
      </c>
      <c r="B14" s="71" t="s">
        <v>146</v>
      </c>
      <c r="C14" s="34">
        <f t="shared" si="1"/>
        <v>30</v>
      </c>
      <c r="D14" s="35"/>
      <c r="E14" s="35"/>
      <c r="F14" s="35">
        <v>10</v>
      </c>
      <c r="G14" s="35"/>
      <c r="H14" s="35"/>
      <c r="I14" s="35"/>
      <c r="J14" s="35">
        <v>10</v>
      </c>
      <c r="K14" s="35"/>
      <c r="L14" s="35"/>
      <c r="M14" s="35"/>
      <c r="N14" s="35">
        <v>10</v>
      </c>
      <c r="O14" s="35"/>
    </row>
    <row r="15" spans="1:15" ht="41.25" customHeight="1">
      <c r="A15" s="13">
        <v>40</v>
      </c>
      <c r="B15" s="71" t="s">
        <v>89</v>
      </c>
      <c r="C15" s="34">
        <f t="shared" si="1"/>
        <v>176</v>
      </c>
      <c r="D15" s="35"/>
      <c r="E15" s="35"/>
      <c r="F15" s="35">
        <v>20</v>
      </c>
      <c r="G15" s="35">
        <v>10</v>
      </c>
      <c r="H15" s="35">
        <v>55</v>
      </c>
      <c r="I15" s="35">
        <v>21</v>
      </c>
      <c r="J15" s="35">
        <v>10</v>
      </c>
      <c r="K15" s="35">
        <v>10</v>
      </c>
      <c r="L15" s="35"/>
      <c r="M15" s="35">
        <v>10</v>
      </c>
      <c r="N15" s="35">
        <v>10</v>
      </c>
      <c r="O15" s="35">
        <v>30</v>
      </c>
    </row>
    <row r="16" spans="1:15" ht="21.75" customHeight="1">
      <c r="A16" s="13">
        <v>42</v>
      </c>
      <c r="B16" s="71" t="s">
        <v>92</v>
      </c>
      <c r="C16" s="34">
        <f t="shared" si="1"/>
        <v>61</v>
      </c>
      <c r="D16" s="35">
        <v>5</v>
      </c>
      <c r="E16" s="35">
        <v>5</v>
      </c>
      <c r="F16" s="35">
        <v>5</v>
      </c>
      <c r="G16" s="35">
        <v>6</v>
      </c>
      <c r="H16" s="35">
        <v>5</v>
      </c>
      <c r="I16" s="35">
        <v>5</v>
      </c>
      <c r="J16" s="35">
        <v>5</v>
      </c>
      <c r="K16" s="35">
        <v>5</v>
      </c>
      <c r="L16" s="35">
        <v>5</v>
      </c>
      <c r="M16" s="35">
        <v>5</v>
      </c>
      <c r="N16" s="35">
        <v>5</v>
      </c>
      <c r="O16" s="35">
        <v>5</v>
      </c>
    </row>
    <row r="17" spans="1:15" ht="21.75" customHeight="1">
      <c r="A17" s="13">
        <v>44</v>
      </c>
      <c r="B17" s="71" t="s">
        <v>100</v>
      </c>
      <c r="C17" s="34">
        <f>SUM(D17:O17)</f>
        <v>160</v>
      </c>
      <c r="D17" s="35">
        <v>5</v>
      </c>
      <c r="E17" s="35">
        <v>5</v>
      </c>
      <c r="F17" s="35">
        <v>10</v>
      </c>
      <c r="G17" s="35">
        <v>10</v>
      </c>
      <c r="H17" s="35">
        <v>30</v>
      </c>
      <c r="I17" s="35">
        <v>20</v>
      </c>
      <c r="J17" s="36">
        <v>10</v>
      </c>
      <c r="K17" s="36">
        <v>10</v>
      </c>
      <c r="L17" s="36"/>
      <c r="M17" s="36">
        <v>10</v>
      </c>
      <c r="N17" s="36">
        <v>10</v>
      </c>
      <c r="O17" s="36">
        <v>40</v>
      </c>
    </row>
    <row r="18" spans="1:15" ht="21.75" customHeight="1">
      <c r="A18" s="13">
        <v>45</v>
      </c>
      <c r="B18" s="71" t="s">
        <v>101</v>
      </c>
      <c r="C18" s="34">
        <f>SUM(D18:O18)</f>
        <v>70</v>
      </c>
      <c r="D18" s="35"/>
      <c r="E18" s="35"/>
      <c r="F18" s="35">
        <v>20</v>
      </c>
      <c r="G18" s="35"/>
      <c r="H18" s="35"/>
      <c r="I18" s="35">
        <v>30</v>
      </c>
      <c r="J18" s="36"/>
      <c r="K18" s="36"/>
      <c r="L18" s="36"/>
      <c r="M18" s="36"/>
      <c r="N18" s="36"/>
      <c r="O18" s="36">
        <v>20</v>
      </c>
    </row>
    <row r="19" spans="1:15" ht="21.75" customHeight="1">
      <c r="A19" s="13">
        <v>43</v>
      </c>
      <c r="B19" s="71" t="s">
        <v>85</v>
      </c>
      <c r="C19" s="34">
        <f>SUM(D19:O19)</f>
        <v>269</v>
      </c>
      <c r="D19" s="35">
        <v>16</v>
      </c>
      <c r="E19" s="35">
        <v>11</v>
      </c>
      <c r="F19" s="35">
        <v>15</v>
      </c>
      <c r="G19" s="35">
        <v>12</v>
      </c>
      <c r="H19" s="35">
        <v>36</v>
      </c>
      <c r="I19" s="35">
        <v>26</v>
      </c>
      <c r="J19" s="35">
        <v>29</v>
      </c>
      <c r="K19" s="35">
        <v>31</v>
      </c>
      <c r="L19" s="35">
        <v>10</v>
      </c>
      <c r="M19" s="35">
        <v>10</v>
      </c>
      <c r="N19" s="35">
        <v>40</v>
      </c>
      <c r="O19" s="35">
        <v>33</v>
      </c>
    </row>
    <row r="20" spans="1:15" ht="18.75" customHeight="1">
      <c r="A20" s="13">
        <v>41</v>
      </c>
      <c r="B20" s="92" t="s">
        <v>91</v>
      </c>
      <c r="C20" s="34">
        <f>SUM(D20:O20)</f>
        <v>120</v>
      </c>
      <c r="D20" s="35"/>
      <c r="E20" s="35"/>
      <c r="F20" s="35"/>
      <c r="G20" s="35">
        <v>40</v>
      </c>
      <c r="H20" s="35"/>
      <c r="I20" s="35"/>
      <c r="J20" s="36"/>
      <c r="K20" s="36">
        <v>40</v>
      </c>
      <c r="L20" s="35"/>
      <c r="M20" s="35"/>
      <c r="N20" s="36">
        <v>40</v>
      </c>
      <c r="O20" s="36"/>
    </row>
    <row r="21" spans="1:15" ht="21" customHeight="1">
      <c r="A21" s="13">
        <v>46</v>
      </c>
      <c r="B21" s="71" t="s">
        <v>102</v>
      </c>
      <c r="C21" s="34">
        <f>SUM(D21:O21)</f>
        <v>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>
      <c r="A22" s="136" t="s">
        <v>64</v>
      </c>
      <c r="B22" s="136"/>
      <c r="C22" s="66">
        <f>SUM(C6:C21)</f>
        <v>1816</v>
      </c>
      <c r="D22" s="37">
        <f>SUM(D6:D21)</f>
        <v>152</v>
      </c>
      <c r="E22" s="37">
        <f t="shared" ref="E22:O22" si="2">SUM(E6:E21)</f>
        <v>160</v>
      </c>
      <c r="F22" s="37">
        <f t="shared" si="2"/>
        <v>144</v>
      </c>
      <c r="G22" s="37">
        <f t="shared" si="2"/>
        <v>128</v>
      </c>
      <c r="H22" s="37">
        <f t="shared" si="2"/>
        <v>176</v>
      </c>
      <c r="I22" s="37">
        <f t="shared" si="2"/>
        <v>152</v>
      </c>
      <c r="J22" s="37">
        <f t="shared" si="2"/>
        <v>184</v>
      </c>
      <c r="K22" s="37">
        <f t="shared" si="2"/>
        <v>176</v>
      </c>
      <c r="L22" s="37">
        <f t="shared" si="2"/>
        <v>40</v>
      </c>
      <c r="M22" s="37">
        <f t="shared" si="2"/>
        <v>176</v>
      </c>
      <c r="N22" s="37">
        <f t="shared" si="2"/>
        <v>160</v>
      </c>
      <c r="O22" s="37">
        <f t="shared" si="2"/>
        <v>168</v>
      </c>
    </row>
    <row r="23" spans="1:15">
      <c r="A23" s="38"/>
      <c r="B23" s="39"/>
      <c r="C23" s="56">
        <f t="shared" ref="C23:O23" si="3">C4-C22</f>
        <v>0</v>
      </c>
      <c r="D23" s="40">
        <f t="shared" si="3"/>
        <v>0</v>
      </c>
      <c r="E23" s="40">
        <f t="shared" si="3"/>
        <v>0</v>
      </c>
      <c r="F23" s="40">
        <f t="shared" si="3"/>
        <v>0</v>
      </c>
      <c r="G23" s="40">
        <f t="shared" si="3"/>
        <v>0</v>
      </c>
      <c r="H23" s="40">
        <f t="shared" si="3"/>
        <v>0</v>
      </c>
      <c r="I23" s="40">
        <f t="shared" si="3"/>
        <v>0</v>
      </c>
      <c r="J23" s="40">
        <f t="shared" si="3"/>
        <v>0</v>
      </c>
      <c r="K23" s="40">
        <f t="shared" si="3"/>
        <v>0</v>
      </c>
      <c r="L23" s="40">
        <f t="shared" si="3"/>
        <v>0</v>
      </c>
      <c r="M23" s="40">
        <f t="shared" si="3"/>
        <v>0</v>
      </c>
      <c r="N23" s="40">
        <f t="shared" si="3"/>
        <v>0</v>
      </c>
      <c r="O23" s="40">
        <f t="shared" si="3"/>
        <v>0</v>
      </c>
    </row>
    <row r="24" spans="1:15">
      <c r="C24" s="89">
        <f>C22+Mirelle!C24+Lyndon!C24+Bruno!C24+ARTHUR!C19</f>
        <v>9112</v>
      </c>
    </row>
    <row r="25" spans="1:15">
      <c r="C25" s="5"/>
    </row>
    <row r="28" spans="1:15">
      <c r="C28" s="57"/>
    </row>
  </sheetData>
  <customSheetViews>
    <customSheetView guid="{96FD02FA-CE5E-4ADB-B35B-D1C6BC52FA4E}" fitToPage="1">
      <pane xSplit="3" ySplit="5" topLeftCell="D15" activePane="bottomRight" state="frozen"/>
      <selection pane="bottomRight" activeCell="B13" sqref="B13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1"/>
    </customSheetView>
    <customSheetView guid="{0BE8A49B-CCD8-4D2B-924B-C3C981B84E5F}" fitToPage="1">
      <pane xSplit="3" ySplit="5" topLeftCell="D6" activePane="bottomRight" state="frozen"/>
      <selection pane="bottomRight" activeCell="C24" sqref="C24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2"/>
    </customSheetView>
    <customSheetView guid="{8E208870-C947-48A4-A7D0-07C1A1950AA9}" fitToPage="1" topLeftCell="A10">
      <selection activeCell="H16" sqref="H1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3"/>
    </customSheetView>
    <customSheetView guid="{BE4FC02B-9720-4D1A-82CA-4065D419B672}" showPageBreaks="1" fitToPage="1">
      <pane xSplit="3" ySplit="5" topLeftCell="D18" activePane="bottomRight" state="frozen"/>
      <selection pane="bottomRight" activeCell="K15" sqref="K15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4"/>
    </customSheetView>
  </customSheetViews>
  <mergeCells count="5">
    <mergeCell ref="A1:B1"/>
    <mergeCell ref="A2:B2"/>
    <mergeCell ref="A3:B3"/>
    <mergeCell ref="A4:B4"/>
    <mergeCell ref="A22:B22"/>
  </mergeCells>
  <pageMargins left="0.51181102362204722" right="0.51181102362204722" top="0.78740157480314965" bottom="0.78740157480314965" header="0.31496062992125984" footer="0.31496062992125984"/>
  <pageSetup paperSize="9" scale="81" orientation="landscape" horizontalDpi="4294967294" verticalDpi="4294967294" r:id="rId5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workbookViewId="0">
      <selection activeCell="R26" sqref="R26"/>
    </sheetView>
  </sheetViews>
  <sheetFormatPr defaultRowHeight="15"/>
  <cols>
    <col min="1" max="1" width="9.140625" style="6"/>
    <col min="2" max="2" width="38.7109375" customWidth="1"/>
  </cols>
  <sheetData>
    <row r="1" spans="1:16">
      <c r="A1" s="130" t="s">
        <v>22</v>
      </c>
      <c r="B1" s="130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6">
      <c r="A2" s="131"/>
      <c r="B2" s="132"/>
      <c r="C2" s="22" t="s">
        <v>50</v>
      </c>
      <c r="D2" s="23" t="s">
        <v>7</v>
      </c>
      <c r="E2" s="24" t="s">
        <v>51</v>
      </c>
      <c r="F2" s="24" t="s">
        <v>52</v>
      </c>
      <c r="G2" s="25" t="s">
        <v>53</v>
      </c>
      <c r="H2" s="25" t="s">
        <v>54</v>
      </c>
      <c r="I2" s="24" t="s">
        <v>55</v>
      </c>
      <c r="J2" s="26" t="s">
        <v>56</v>
      </c>
      <c r="K2" s="26" t="s">
        <v>57</v>
      </c>
      <c r="L2" s="25" t="s">
        <v>8</v>
      </c>
      <c r="M2" s="23" t="s">
        <v>58</v>
      </c>
      <c r="N2" s="23" t="s">
        <v>9</v>
      </c>
      <c r="O2" s="27" t="s">
        <v>59</v>
      </c>
    </row>
    <row r="3" spans="1:16">
      <c r="A3" s="133" t="s">
        <v>60</v>
      </c>
      <c r="B3" s="134"/>
      <c r="C3" s="41">
        <f>SUM(D3:O3)</f>
        <v>229</v>
      </c>
      <c r="D3" s="29">
        <v>22</v>
      </c>
      <c r="E3" s="29">
        <v>20</v>
      </c>
      <c r="F3" s="76">
        <v>18</v>
      </c>
      <c r="G3" s="76">
        <v>21</v>
      </c>
      <c r="H3" s="76">
        <v>22</v>
      </c>
      <c r="I3" s="76">
        <v>19</v>
      </c>
      <c r="J3" s="76">
        <v>23</v>
      </c>
      <c r="K3" s="76">
        <v>22</v>
      </c>
      <c r="L3" s="76">
        <v>21</v>
      </c>
      <c r="M3" s="77">
        <v>0</v>
      </c>
      <c r="N3" s="76">
        <v>20</v>
      </c>
      <c r="O3" s="76">
        <v>21</v>
      </c>
    </row>
    <row r="4" spans="1:16">
      <c r="A4" s="135" t="s">
        <v>61</v>
      </c>
      <c r="B4" s="134"/>
      <c r="C4" s="41">
        <f>SUM(D4:O4)</f>
        <v>1832</v>
      </c>
      <c r="D4" s="30">
        <f>D3*8</f>
        <v>176</v>
      </c>
      <c r="E4" s="30">
        <f t="shared" ref="E4:O4" si="0">E3*8</f>
        <v>160</v>
      </c>
      <c r="F4" s="78">
        <f t="shared" si="0"/>
        <v>144</v>
      </c>
      <c r="G4" s="78">
        <f t="shared" si="0"/>
        <v>168</v>
      </c>
      <c r="H4" s="78">
        <f t="shared" si="0"/>
        <v>176</v>
      </c>
      <c r="I4" s="78">
        <f t="shared" si="0"/>
        <v>152</v>
      </c>
      <c r="J4" s="78">
        <f t="shared" si="0"/>
        <v>184</v>
      </c>
      <c r="K4" s="78">
        <f t="shared" si="0"/>
        <v>176</v>
      </c>
      <c r="L4" s="78">
        <f t="shared" si="0"/>
        <v>168</v>
      </c>
      <c r="M4" s="78">
        <f t="shared" si="0"/>
        <v>0</v>
      </c>
      <c r="N4" s="78">
        <f t="shared" si="0"/>
        <v>160</v>
      </c>
      <c r="O4" s="78">
        <f t="shared" si="0"/>
        <v>168</v>
      </c>
    </row>
    <row r="5" spans="1:16">
      <c r="A5" s="31" t="s">
        <v>62</v>
      </c>
      <c r="B5" s="32" t="s">
        <v>63</v>
      </c>
      <c r="C5" s="33"/>
      <c r="D5" s="33"/>
      <c r="E5" s="33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6" ht="18" customHeight="1">
      <c r="A6" s="13">
        <v>1</v>
      </c>
      <c r="B6" s="69" t="s">
        <v>87</v>
      </c>
      <c r="C6" s="34">
        <f t="shared" ref="C6:C21" si="1">SUM(D6:O6)</f>
        <v>115</v>
      </c>
      <c r="D6" s="35">
        <v>75</v>
      </c>
      <c r="E6" s="35">
        <v>40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54"/>
    </row>
    <row r="7" spans="1:16" ht="18" customHeight="1">
      <c r="A7" s="13">
        <v>2</v>
      </c>
      <c r="B7" s="69" t="s">
        <v>88</v>
      </c>
      <c r="C7" s="34">
        <f t="shared" si="1"/>
        <v>100</v>
      </c>
      <c r="D7" s="35">
        <v>60</v>
      </c>
      <c r="E7" s="35">
        <v>40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54"/>
    </row>
    <row r="8" spans="1:16" ht="18" customHeight="1">
      <c r="A8" s="13">
        <v>3</v>
      </c>
      <c r="B8" s="69" t="s">
        <v>127</v>
      </c>
      <c r="C8" s="34">
        <f t="shared" si="1"/>
        <v>80</v>
      </c>
      <c r="D8" s="35"/>
      <c r="E8" s="35"/>
      <c r="F8" s="35"/>
      <c r="G8" s="35"/>
      <c r="H8" s="35"/>
      <c r="I8" s="35"/>
      <c r="J8" s="36"/>
      <c r="K8" s="36">
        <v>40</v>
      </c>
      <c r="L8" s="35">
        <v>40</v>
      </c>
      <c r="M8" s="35"/>
      <c r="N8" s="36"/>
      <c r="O8" s="36"/>
      <c r="P8" s="54"/>
    </row>
    <row r="9" spans="1:16" ht="21.75" customHeight="1">
      <c r="A9" s="13">
        <v>4</v>
      </c>
      <c r="B9" s="69" t="s">
        <v>13</v>
      </c>
      <c r="C9" s="43">
        <f>SUM(D9:O9)</f>
        <v>115</v>
      </c>
      <c r="D9" s="44">
        <v>10</v>
      </c>
      <c r="E9" s="44">
        <v>10</v>
      </c>
      <c r="F9" s="44">
        <v>10</v>
      </c>
      <c r="G9" s="44"/>
      <c r="H9" s="44">
        <v>20</v>
      </c>
      <c r="I9" s="44"/>
      <c r="J9" s="44">
        <v>10</v>
      </c>
      <c r="K9" s="44"/>
      <c r="L9" s="44">
        <v>15</v>
      </c>
      <c r="M9" s="44"/>
      <c r="N9" s="44">
        <v>25</v>
      </c>
      <c r="O9" s="44">
        <v>15</v>
      </c>
      <c r="P9" s="54"/>
    </row>
    <row r="10" spans="1:16" ht="25.5">
      <c r="A10" s="13">
        <v>5</v>
      </c>
      <c r="B10" s="69" t="s">
        <v>49</v>
      </c>
      <c r="C10" s="43">
        <f>SUM(D10:O10)</f>
        <v>198</v>
      </c>
      <c r="D10" s="44">
        <v>11</v>
      </c>
      <c r="E10" s="44">
        <v>10</v>
      </c>
      <c r="F10" s="44">
        <v>10</v>
      </c>
      <c r="G10" s="44">
        <v>20</v>
      </c>
      <c r="H10" s="44">
        <v>35</v>
      </c>
      <c r="I10" s="44">
        <v>18</v>
      </c>
      <c r="J10" s="44">
        <v>26</v>
      </c>
      <c r="K10" s="44">
        <v>18</v>
      </c>
      <c r="L10" s="44">
        <v>20</v>
      </c>
      <c r="M10" s="44"/>
      <c r="N10" s="44">
        <v>10</v>
      </c>
      <c r="O10" s="44">
        <v>20</v>
      </c>
      <c r="P10" s="54"/>
    </row>
    <row r="11" spans="1:16" ht="33" customHeight="1">
      <c r="A11" s="13">
        <v>6</v>
      </c>
      <c r="B11" s="69" t="s">
        <v>20</v>
      </c>
      <c r="C11" s="43">
        <f>SUM(D11:O11)</f>
        <v>558</v>
      </c>
      <c r="D11" s="44"/>
      <c r="E11" s="44">
        <v>40</v>
      </c>
      <c r="F11" s="44">
        <v>31</v>
      </c>
      <c r="G11" s="49">
        <v>50</v>
      </c>
      <c r="H11" s="44">
        <v>78</v>
      </c>
      <c r="I11" s="44">
        <v>49</v>
      </c>
      <c r="J11" s="48">
        <v>75</v>
      </c>
      <c r="K11" s="48">
        <v>43</v>
      </c>
      <c r="L11" s="44">
        <v>30</v>
      </c>
      <c r="M11" s="44"/>
      <c r="N11" s="48">
        <v>82</v>
      </c>
      <c r="O11" s="48">
        <v>80</v>
      </c>
      <c r="P11" s="54"/>
    </row>
    <row r="12" spans="1:16" ht="33" customHeight="1">
      <c r="A12" s="13">
        <v>7</v>
      </c>
      <c r="B12" s="71" t="s">
        <v>21</v>
      </c>
      <c r="C12" s="43">
        <f t="shared" ref="C12:C13" si="2">SUM(D12:O12)</f>
        <v>20</v>
      </c>
      <c r="D12" s="44"/>
      <c r="E12" s="44"/>
      <c r="F12" s="44"/>
      <c r="G12" s="49"/>
      <c r="H12" s="44"/>
      <c r="I12" s="44">
        <v>10</v>
      </c>
      <c r="J12" s="48"/>
      <c r="K12" s="48"/>
      <c r="L12" s="44"/>
      <c r="M12" s="44"/>
      <c r="N12" s="48"/>
      <c r="O12" s="48">
        <v>10</v>
      </c>
      <c r="P12" s="54"/>
    </row>
    <row r="13" spans="1:16" ht="18.75" customHeight="1">
      <c r="A13" s="13">
        <v>32</v>
      </c>
      <c r="B13" s="71" t="s">
        <v>83</v>
      </c>
      <c r="C13" s="43">
        <f t="shared" si="2"/>
        <v>40</v>
      </c>
      <c r="D13" s="44"/>
      <c r="E13" s="44"/>
      <c r="F13" s="44"/>
      <c r="G13" s="49">
        <v>20</v>
      </c>
      <c r="H13" s="44"/>
      <c r="I13" s="44"/>
      <c r="J13" s="48">
        <v>10</v>
      </c>
      <c r="K13" s="48">
        <v>10</v>
      </c>
      <c r="L13" s="44"/>
      <c r="M13" s="44"/>
      <c r="N13" s="48"/>
      <c r="O13" s="48"/>
      <c r="P13" s="54"/>
    </row>
    <row r="14" spans="1:16" ht="18.75" customHeight="1">
      <c r="A14" s="13">
        <v>24</v>
      </c>
      <c r="B14" s="71" t="s">
        <v>95</v>
      </c>
      <c r="C14" s="43">
        <f>SUM(D14:O14)</f>
        <v>40</v>
      </c>
      <c r="D14" s="44"/>
      <c r="E14" s="44"/>
      <c r="F14" s="44"/>
      <c r="G14" s="49">
        <v>20</v>
      </c>
      <c r="H14" s="44"/>
      <c r="I14" s="44"/>
      <c r="J14" s="48">
        <v>20</v>
      </c>
      <c r="K14" s="48"/>
      <c r="L14" s="44"/>
      <c r="M14" s="44"/>
      <c r="N14" s="48"/>
      <c r="O14" s="48"/>
      <c r="P14" s="54"/>
    </row>
    <row r="15" spans="1:16" ht="18.75" customHeight="1">
      <c r="A15" s="13">
        <v>38</v>
      </c>
      <c r="B15" s="71" t="s">
        <v>146</v>
      </c>
      <c r="C15" s="43">
        <f>SUM(D15:O15)</f>
        <v>40</v>
      </c>
      <c r="D15" s="44"/>
      <c r="E15" s="44"/>
      <c r="F15" s="44"/>
      <c r="G15" s="49">
        <v>20</v>
      </c>
      <c r="H15" s="44"/>
      <c r="I15" s="44"/>
      <c r="J15" s="48">
        <v>10</v>
      </c>
      <c r="K15" s="48"/>
      <c r="L15" s="44">
        <v>10</v>
      </c>
      <c r="M15" s="44"/>
      <c r="N15" s="48"/>
      <c r="O15" s="48"/>
      <c r="P15" s="54"/>
    </row>
    <row r="16" spans="1:16" ht="18" customHeight="1">
      <c r="A16" s="3">
        <v>16</v>
      </c>
      <c r="B16" s="71" t="s">
        <v>99</v>
      </c>
      <c r="C16" s="43">
        <f>SUM(D16:O16)</f>
        <v>40</v>
      </c>
      <c r="D16" s="35"/>
      <c r="E16" s="35"/>
      <c r="F16" s="35">
        <v>10</v>
      </c>
      <c r="G16" s="35">
        <v>10</v>
      </c>
      <c r="H16" s="35"/>
      <c r="I16" s="35">
        <v>10</v>
      </c>
      <c r="J16" s="35"/>
      <c r="K16" s="36"/>
      <c r="L16" s="35">
        <v>10</v>
      </c>
      <c r="M16" s="35"/>
      <c r="N16" s="36"/>
      <c r="O16" s="36"/>
      <c r="P16" s="54"/>
    </row>
    <row r="17" spans="1:16" ht="18" customHeight="1">
      <c r="A17" s="3">
        <v>37</v>
      </c>
      <c r="B17" s="71" t="s">
        <v>98</v>
      </c>
      <c r="C17" s="43">
        <f t="shared" ref="C17:C18" si="3">SUM(D17:O17)</f>
        <v>10</v>
      </c>
      <c r="D17" s="35"/>
      <c r="E17" s="35"/>
      <c r="F17" s="35">
        <v>10</v>
      </c>
      <c r="G17" s="35"/>
      <c r="H17" s="35"/>
      <c r="I17" s="35"/>
      <c r="J17" s="35"/>
      <c r="K17" s="36"/>
      <c r="L17" s="35"/>
      <c r="M17" s="35"/>
      <c r="N17" s="36"/>
      <c r="O17" s="36"/>
      <c r="P17" s="54"/>
    </row>
    <row r="18" spans="1:16" ht="38.25">
      <c r="A18" s="3">
        <v>40</v>
      </c>
      <c r="B18" s="71" t="s">
        <v>89</v>
      </c>
      <c r="C18" s="43">
        <f t="shared" si="3"/>
        <v>40</v>
      </c>
      <c r="D18" s="35"/>
      <c r="E18" s="35"/>
      <c r="F18" s="55">
        <v>5</v>
      </c>
      <c r="G18" s="35"/>
      <c r="H18" s="35">
        <v>5</v>
      </c>
      <c r="I18" s="35">
        <v>5</v>
      </c>
      <c r="J18" s="35">
        <v>5</v>
      </c>
      <c r="K18" s="35">
        <v>5</v>
      </c>
      <c r="L18" s="35">
        <v>5</v>
      </c>
      <c r="M18" s="35"/>
      <c r="N18" s="35">
        <v>5</v>
      </c>
      <c r="O18" s="35">
        <v>5</v>
      </c>
      <c r="P18" s="54"/>
    </row>
    <row r="19" spans="1:16" ht="18" customHeight="1">
      <c r="A19" s="13">
        <v>43</v>
      </c>
      <c r="B19" s="71" t="s">
        <v>85</v>
      </c>
      <c r="C19" s="34">
        <f t="shared" si="1"/>
        <v>268</v>
      </c>
      <c r="D19" s="35">
        <v>12</v>
      </c>
      <c r="E19" s="35">
        <v>20</v>
      </c>
      <c r="F19" s="35">
        <v>20</v>
      </c>
      <c r="G19" s="35">
        <v>28</v>
      </c>
      <c r="H19" s="35">
        <v>30</v>
      </c>
      <c r="I19" s="35">
        <v>20</v>
      </c>
      <c r="J19" s="35">
        <v>20</v>
      </c>
      <c r="K19" s="35">
        <v>20</v>
      </c>
      <c r="L19" s="35">
        <v>30</v>
      </c>
      <c r="M19" s="35"/>
      <c r="N19" s="35">
        <v>30</v>
      </c>
      <c r="O19" s="35">
        <v>38</v>
      </c>
      <c r="P19" s="54"/>
    </row>
    <row r="20" spans="1:16" ht="18" customHeight="1">
      <c r="A20" s="13">
        <v>44</v>
      </c>
      <c r="B20" s="71" t="s">
        <v>100</v>
      </c>
      <c r="C20" s="34">
        <f t="shared" si="1"/>
        <v>48</v>
      </c>
      <c r="D20" s="35">
        <v>8</v>
      </c>
      <c r="E20" s="35"/>
      <c r="F20" s="35">
        <v>8</v>
      </c>
      <c r="G20" s="35"/>
      <c r="H20" s="35">
        <v>8</v>
      </c>
      <c r="I20" s="35"/>
      <c r="J20" s="35">
        <v>8</v>
      </c>
      <c r="K20" s="35"/>
      <c r="L20" s="35">
        <v>8</v>
      </c>
      <c r="M20" s="35"/>
      <c r="N20" s="35">
        <v>8</v>
      </c>
      <c r="O20" s="35"/>
      <c r="P20" s="54"/>
    </row>
    <row r="21" spans="1:16" ht="18" customHeight="1">
      <c r="A21" s="13">
        <v>45</v>
      </c>
      <c r="B21" s="71" t="s">
        <v>101</v>
      </c>
      <c r="C21" s="34">
        <f t="shared" si="1"/>
        <v>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54"/>
    </row>
    <row r="22" spans="1:16" ht="18" customHeight="1">
      <c r="A22" s="13">
        <v>41</v>
      </c>
      <c r="B22" s="71" t="s">
        <v>86</v>
      </c>
      <c r="C22" s="34">
        <f>SUM(D22:O22)</f>
        <v>120</v>
      </c>
      <c r="D22" s="35"/>
      <c r="E22" s="35"/>
      <c r="F22" s="35">
        <v>40</v>
      </c>
      <c r="G22" s="35"/>
      <c r="H22" s="35"/>
      <c r="I22" s="35">
        <v>40</v>
      </c>
      <c r="J22" s="36"/>
      <c r="K22" s="36">
        <v>40</v>
      </c>
      <c r="L22" s="35"/>
      <c r="M22" s="35"/>
      <c r="N22" s="36"/>
      <c r="O22" s="36"/>
      <c r="P22" s="54"/>
    </row>
    <row r="23" spans="1:16" ht="18" customHeight="1">
      <c r="A23" s="13">
        <v>46</v>
      </c>
      <c r="B23" s="71" t="s">
        <v>102</v>
      </c>
      <c r="C23" s="34">
        <f>SUM(D23:O23)</f>
        <v>0</v>
      </c>
      <c r="D23" s="35"/>
      <c r="E23" s="35"/>
      <c r="F23" s="35"/>
      <c r="G23" s="35"/>
      <c r="H23" s="35"/>
      <c r="I23" s="35"/>
      <c r="J23" s="36"/>
      <c r="K23" s="36"/>
      <c r="L23" s="35"/>
      <c r="M23" s="35"/>
      <c r="N23" s="36"/>
      <c r="O23" s="36"/>
      <c r="P23" s="54"/>
    </row>
    <row r="24" spans="1:16">
      <c r="A24" s="136" t="s">
        <v>50</v>
      </c>
      <c r="B24" s="136"/>
      <c r="C24" s="66">
        <f>SUM(C6:C23)</f>
        <v>1832</v>
      </c>
      <c r="D24" s="37">
        <f>SUM(D6:D23)</f>
        <v>176</v>
      </c>
      <c r="E24" s="37">
        <f t="shared" ref="E24:O24" si="4">SUM(E6:E23)</f>
        <v>160</v>
      </c>
      <c r="F24" s="37">
        <f t="shared" si="4"/>
        <v>144</v>
      </c>
      <c r="G24" s="37">
        <f t="shared" si="4"/>
        <v>168</v>
      </c>
      <c r="H24" s="37">
        <f t="shared" si="4"/>
        <v>176</v>
      </c>
      <c r="I24" s="37">
        <f t="shared" si="4"/>
        <v>152</v>
      </c>
      <c r="J24" s="37">
        <f t="shared" si="4"/>
        <v>184</v>
      </c>
      <c r="K24" s="37">
        <f t="shared" si="4"/>
        <v>176</v>
      </c>
      <c r="L24" s="37">
        <f t="shared" si="4"/>
        <v>168</v>
      </c>
      <c r="M24" s="37">
        <f>SUM(M6:M23)</f>
        <v>0</v>
      </c>
      <c r="N24" s="37">
        <f t="shared" si="4"/>
        <v>160</v>
      </c>
      <c r="O24" s="37">
        <f t="shared" si="4"/>
        <v>168</v>
      </c>
    </row>
    <row r="25" spans="1:16">
      <c r="A25" s="38"/>
      <c r="B25" s="39"/>
      <c r="C25" s="39">
        <f>+C4-C24</f>
        <v>0</v>
      </c>
      <c r="D25" s="40">
        <f t="shared" ref="D25:O25" si="5">D4-D24</f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  <c r="I25" s="40">
        <f t="shared" si="5"/>
        <v>0</v>
      </c>
      <c r="J25" s="40">
        <f t="shared" si="5"/>
        <v>0</v>
      </c>
      <c r="K25" s="40">
        <f t="shared" si="5"/>
        <v>0</v>
      </c>
      <c r="L25" s="40">
        <f t="shared" si="5"/>
        <v>0</v>
      </c>
      <c r="M25" s="40">
        <f t="shared" si="5"/>
        <v>0</v>
      </c>
      <c r="N25" s="40">
        <f t="shared" si="5"/>
        <v>0</v>
      </c>
      <c r="O25" s="40">
        <f t="shared" si="5"/>
        <v>0</v>
      </c>
    </row>
  </sheetData>
  <customSheetViews>
    <customSheetView guid="{96FD02FA-CE5E-4ADB-B35B-D1C6BC52FA4E}" fitToPage="1">
      <pane xSplit="3" ySplit="5" topLeftCell="D6" activePane="bottomRight" state="frozen"/>
      <selection pane="bottomRight" activeCell="A6" sqref="A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1"/>
    </customSheetView>
    <customSheetView guid="{0BE8A49B-CCD8-4D2B-924B-C3C981B84E5F}" fitToPage="1">
      <selection activeCell="R26" sqref="R2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2"/>
    </customSheetView>
    <customSheetView guid="{8E208870-C947-48A4-A7D0-07C1A1950AA9}" fitToPage="1">
      <selection activeCell="G16" sqref="G1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3"/>
    </customSheetView>
    <customSheetView guid="{BE4FC02B-9720-4D1A-82CA-4065D419B672}" fitToPage="1">
      <pane xSplit="3" ySplit="5" topLeftCell="D6" activePane="bottomRight" state="frozen"/>
      <selection pane="bottomRight" activeCell="A6" sqref="A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4"/>
    </customSheetView>
  </customSheetViews>
  <mergeCells count="5">
    <mergeCell ref="A1:B1"/>
    <mergeCell ref="A2:B2"/>
    <mergeCell ref="A3:B3"/>
    <mergeCell ref="A4:B4"/>
    <mergeCell ref="A24:B24"/>
  </mergeCells>
  <pageMargins left="0.51181102362204722" right="0.51181102362204722" top="0.78740157480314965" bottom="0.78740157480314965" header="0.31496062992125984" footer="0.31496062992125984"/>
  <pageSetup paperSize="9" scale="81" orientation="landscape" horizontalDpi="4294967294" verticalDpi="4294967294" r:id="rId5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R12" sqref="R12"/>
    </sheetView>
  </sheetViews>
  <sheetFormatPr defaultRowHeight="15"/>
  <cols>
    <col min="1" max="1" width="9.140625" style="6"/>
    <col min="2" max="2" width="38.7109375" customWidth="1"/>
  </cols>
  <sheetData>
    <row r="1" spans="1:15">
      <c r="A1" s="130" t="s">
        <v>23</v>
      </c>
      <c r="B1" s="130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>
      <c r="A2" s="131"/>
      <c r="B2" s="132"/>
      <c r="C2" s="22" t="s">
        <v>50</v>
      </c>
      <c r="D2" s="23" t="s">
        <v>7</v>
      </c>
      <c r="E2" s="24" t="s">
        <v>51</v>
      </c>
      <c r="F2" s="24" t="s">
        <v>52</v>
      </c>
      <c r="G2" s="25" t="s">
        <v>53</v>
      </c>
      <c r="H2" s="25" t="s">
        <v>54</v>
      </c>
      <c r="I2" s="24" t="s">
        <v>55</v>
      </c>
      <c r="J2" s="26" t="s">
        <v>56</v>
      </c>
      <c r="K2" s="26" t="s">
        <v>57</v>
      </c>
      <c r="L2" s="25" t="s">
        <v>8</v>
      </c>
      <c r="M2" s="23" t="s">
        <v>58</v>
      </c>
      <c r="N2" s="23" t="s">
        <v>9</v>
      </c>
      <c r="O2" s="27" t="s">
        <v>59</v>
      </c>
    </row>
    <row r="3" spans="1:15">
      <c r="A3" s="133" t="s">
        <v>60</v>
      </c>
      <c r="B3" s="134"/>
      <c r="C3" s="28">
        <f>SUM(D3:O3)</f>
        <v>222</v>
      </c>
      <c r="D3" s="59">
        <v>10</v>
      </c>
      <c r="E3" s="59">
        <v>20</v>
      </c>
      <c r="F3" s="29">
        <v>18</v>
      </c>
      <c r="G3" s="42">
        <v>21</v>
      </c>
      <c r="H3" s="29">
        <v>22</v>
      </c>
      <c r="I3" s="29">
        <v>19</v>
      </c>
      <c r="J3" s="59">
        <v>11</v>
      </c>
      <c r="K3" s="29">
        <v>22</v>
      </c>
      <c r="L3" s="29">
        <v>21</v>
      </c>
      <c r="M3" s="29">
        <v>22</v>
      </c>
      <c r="N3" s="59">
        <v>15</v>
      </c>
      <c r="O3" s="29">
        <v>21</v>
      </c>
    </row>
    <row r="4" spans="1:15">
      <c r="A4" s="135" t="s">
        <v>61</v>
      </c>
      <c r="B4" s="134"/>
      <c r="C4" s="28">
        <f>SUM(D4:O4)</f>
        <v>1776</v>
      </c>
      <c r="D4" s="30">
        <f>D3*8</f>
        <v>80</v>
      </c>
      <c r="E4" s="30">
        <f t="shared" ref="E4:O4" si="0">E3*8</f>
        <v>160</v>
      </c>
      <c r="F4" s="30">
        <f t="shared" si="0"/>
        <v>144</v>
      </c>
      <c r="G4" s="30">
        <f t="shared" si="0"/>
        <v>168</v>
      </c>
      <c r="H4" s="30">
        <f t="shared" si="0"/>
        <v>176</v>
      </c>
      <c r="I4" s="30">
        <f t="shared" si="0"/>
        <v>152</v>
      </c>
      <c r="J4" s="30">
        <f t="shared" si="0"/>
        <v>88</v>
      </c>
      <c r="K4" s="30">
        <f t="shared" si="0"/>
        <v>176</v>
      </c>
      <c r="L4" s="30">
        <f t="shared" si="0"/>
        <v>168</v>
      </c>
      <c r="M4" s="30">
        <f t="shared" si="0"/>
        <v>176</v>
      </c>
      <c r="N4" s="30">
        <f t="shared" si="0"/>
        <v>120</v>
      </c>
      <c r="O4" s="30">
        <f t="shared" si="0"/>
        <v>168</v>
      </c>
    </row>
    <row r="5" spans="1:15">
      <c r="A5" s="31" t="s">
        <v>62</v>
      </c>
      <c r="B5" s="32" t="s">
        <v>63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8" customHeight="1">
      <c r="A6" s="13">
        <v>1</v>
      </c>
      <c r="B6" s="71" t="s">
        <v>87</v>
      </c>
      <c r="C6" s="34">
        <f t="shared" ref="C6:C23" si="1">SUM(D6:O6)</f>
        <v>20</v>
      </c>
      <c r="D6" s="35">
        <v>20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8" customHeight="1">
      <c r="A7" s="13">
        <v>2</v>
      </c>
      <c r="B7" s="71" t="s">
        <v>88</v>
      </c>
      <c r="C7" s="34">
        <f t="shared" si="1"/>
        <v>32</v>
      </c>
      <c r="D7" s="35">
        <v>16</v>
      </c>
      <c r="E7" s="35">
        <v>16</v>
      </c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18" customHeight="1">
      <c r="A8" s="13">
        <v>3</v>
      </c>
      <c r="B8" s="71" t="s">
        <v>127</v>
      </c>
      <c r="C8" s="34">
        <f t="shared" si="1"/>
        <v>103</v>
      </c>
      <c r="D8" s="35"/>
      <c r="E8" s="35"/>
      <c r="F8" s="35"/>
      <c r="G8" s="35"/>
      <c r="H8" s="35"/>
      <c r="I8" s="35"/>
      <c r="J8" s="36"/>
      <c r="K8" s="36"/>
      <c r="L8" s="35">
        <v>28</v>
      </c>
      <c r="M8" s="35">
        <v>75</v>
      </c>
      <c r="N8" s="36"/>
      <c r="O8" s="36"/>
    </row>
    <row r="9" spans="1:15" ht="31.5" customHeight="1">
      <c r="A9" s="13">
        <v>18</v>
      </c>
      <c r="B9" s="71" t="s">
        <v>122</v>
      </c>
      <c r="C9" s="34">
        <f t="shared" si="1"/>
        <v>354</v>
      </c>
      <c r="D9" s="44">
        <v>36</v>
      </c>
      <c r="E9" s="44">
        <v>112</v>
      </c>
      <c r="F9" s="44">
        <v>96</v>
      </c>
      <c r="G9" s="44">
        <v>110</v>
      </c>
      <c r="H9" s="44"/>
      <c r="I9" s="44"/>
      <c r="J9" s="44"/>
      <c r="K9" s="44"/>
      <c r="L9" s="44"/>
      <c r="M9" s="44"/>
      <c r="N9" s="44"/>
      <c r="O9" s="44"/>
    </row>
    <row r="10" spans="1:15" ht="21.75" customHeight="1">
      <c r="A10" s="13">
        <v>26</v>
      </c>
      <c r="B10" s="71" t="s">
        <v>123</v>
      </c>
      <c r="C10" s="34">
        <f t="shared" si="1"/>
        <v>362</v>
      </c>
      <c r="D10" s="44"/>
      <c r="E10" s="44"/>
      <c r="F10" s="44"/>
      <c r="G10" s="44">
        <v>58</v>
      </c>
      <c r="H10" s="44">
        <v>128</v>
      </c>
      <c r="I10" s="44">
        <v>136</v>
      </c>
      <c r="J10" s="44">
        <v>40</v>
      </c>
      <c r="K10" s="44"/>
      <c r="L10" s="44"/>
      <c r="M10" s="44"/>
      <c r="N10" s="44"/>
      <c r="O10" s="44"/>
    </row>
    <row r="11" spans="1:15" ht="31.5" customHeight="1">
      <c r="A11" s="13">
        <v>17</v>
      </c>
      <c r="B11" s="71" t="s">
        <v>124</v>
      </c>
      <c r="C11" s="34">
        <f t="shared" si="1"/>
        <v>352</v>
      </c>
      <c r="D11" s="44"/>
      <c r="E11" s="44"/>
      <c r="F11" s="44"/>
      <c r="G11" s="44"/>
      <c r="H11" s="44"/>
      <c r="I11" s="44"/>
      <c r="J11" s="44"/>
      <c r="K11" s="44">
        <v>120</v>
      </c>
      <c r="L11" s="44">
        <v>112</v>
      </c>
      <c r="M11" s="44">
        <f>53+8</f>
        <v>61</v>
      </c>
      <c r="N11" s="44">
        <v>20</v>
      </c>
      <c r="O11" s="44">
        <v>39</v>
      </c>
    </row>
    <row r="12" spans="1:15" ht="31.5" customHeight="1">
      <c r="A12" s="13">
        <v>27</v>
      </c>
      <c r="B12" s="71" t="s">
        <v>80</v>
      </c>
      <c r="C12" s="34">
        <f t="shared" si="1"/>
        <v>16</v>
      </c>
      <c r="D12" s="44"/>
      <c r="E12" s="44"/>
      <c r="F12" s="44">
        <v>8</v>
      </c>
      <c r="G12" s="44"/>
      <c r="H12" s="44"/>
      <c r="I12" s="44"/>
      <c r="J12" s="44">
        <v>8</v>
      </c>
      <c r="K12" s="44"/>
      <c r="L12" s="44"/>
      <c r="M12" s="44"/>
      <c r="N12" s="44"/>
      <c r="O12" s="44"/>
    </row>
    <row r="13" spans="1:15" ht="31.5" customHeight="1">
      <c r="A13" s="13">
        <v>20</v>
      </c>
      <c r="B13" s="72" t="s">
        <v>110</v>
      </c>
      <c r="C13" s="34">
        <f t="shared" si="1"/>
        <v>32</v>
      </c>
      <c r="D13" s="44"/>
      <c r="E13" s="44"/>
      <c r="F13" s="44">
        <v>16</v>
      </c>
      <c r="G13" s="44"/>
      <c r="H13" s="44"/>
      <c r="I13" s="44"/>
      <c r="J13" s="44">
        <v>16</v>
      </c>
      <c r="K13" s="44"/>
      <c r="L13" s="44"/>
      <c r="M13" s="44"/>
      <c r="N13" s="44"/>
      <c r="O13" s="44"/>
    </row>
    <row r="14" spans="1:15" ht="22.5" customHeight="1">
      <c r="A14" s="13">
        <v>9</v>
      </c>
      <c r="B14" s="72" t="s">
        <v>82</v>
      </c>
      <c r="C14" s="34">
        <f t="shared" si="1"/>
        <v>32</v>
      </c>
      <c r="D14" s="45"/>
      <c r="E14" s="53">
        <v>16</v>
      </c>
      <c r="F14" s="44"/>
      <c r="G14" s="46"/>
      <c r="H14" s="44"/>
      <c r="I14" s="45"/>
      <c r="J14" s="47">
        <v>16</v>
      </c>
      <c r="K14" s="47"/>
      <c r="L14" s="44"/>
      <c r="M14" s="44"/>
      <c r="N14" s="47"/>
      <c r="O14" s="47"/>
    </row>
    <row r="15" spans="1:15" ht="25.5">
      <c r="A15" s="119">
        <v>39</v>
      </c>
      <c r="B15" s="73" t="s">
        <v>116</v>
      </c>
      <c r="C15" s="34">
        <f t="shared" si="1"/>
        <v>16</v>
      </c>
      <c r="D15" s="53"/>
      <c r="E15" s="53">
        <v>16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</row>
    <row r="16" spans="1:15" ht="20.25" customHeight="1">
      <c r="A16" s="13">
        <v>28</v>
      </c>
      <c r="B16" s="72" t="s">
        <v>113</v>
      </c>
      <c r="C16" s="34">
        <f t="shared" si="1"/>
        <v>40</v>
      </c>
      <c r="D16" s="53"/>
      <c r="E16" s="53"/>
      <c r="F16" s="53"/>
      <c r="G16" s="53"/>
      <c r="H16" s="53"/>
      <c r="I16" s="53"/>
      <c r="J16" s="53"/>
      <c r="K16" s="47">
        <v>16</v>
      </c>
      <c r="L16" s="44"/>
      <c r="M16" s="44"/>
      <c r="N16" s="47">
        <v>24</v>
      </c>
      <c r="O16" s="47"/>
    </row>
    <row r="17" spans="1:15" ht="20.25" customHeight="1">
      <c r="A17" s="13">
        <v>35</v>
      </c>
      <c r="B17" s="72" t="s">
        <v>112</v>
      </c>
      <c r="C17" s="34">
        <f t="shared" si="1"/>
        <v>32</v>
      </c>
      <c r="D17" s="64"/>
      <c r="E17" s="64"/>
      <c r="F17" s="64">
        <v>16</v>
      </c>
      <c r="G17" s="64"/>
      <c r="H17" s="74"/>
      <c r="I17" s="74">
        <v>16</v>
      </c>
      <c r="J17" s="74"/>
      <c r="K17" s="65"/>
      <c r="L17" s="64"/>
      <c r="M17" s="64"/>
      <c r="N17" s="65"/>
      <c r="O17" s="65"/>
    </row>
    <row r="18" spans="1:15" ht="20.25" customHeight="1">
      <c r="A18" s="13">
        <v>20</v>
      </c>
      <c r="B18" s="72" t="s">
        <v>117</v>
      </c>
      <c r="C18" s="34">
        <f t="shared" si="1"/>
        <v>40</v>
      </c>
      <c r="D18" s="64"/>
      <c r="E18" s="64"/>
      <c r="F18" s="64"/>
      <c r="G18" s="64"/>
      <c r="H18" s="74"/>
      <c r="I18" s="74"/>
      <c r="J18" s="74"/>
      <c r="K18" s="65"/>
      <c r="L18" s="64">
        <v>20</v>
      </c>
      <c r="M18" s="64"/>
      <c r="N18" s="65"/>
      <c r="O18" s="65">
        <v>20</v>
      </c>
    </row>
    <row r="19" spans="1:15" ht="20.25" customHeight="1">
      <c r="A19" s="13">
        <v>17</v>
      </c>
      <c r="B19" s="72" t="s">
        <v>118</v>
      </c>
      <c r="C19" s="34">
        <f t="shared" si="1"/>
        <v>0</v>
      </c>
      <c r="D19" s="64"/>
      <c r="E19" s="64"/>
      <c r="F19" s="64"/>
      <c r="G19" s="64"/>
      <c r="H19" s="74"/>
      <c r="I19" s="74"/>
      <c r="J19" s="74"/>
      <c r="K19" s="65"/>
      <c r="L19" s="64"/>
      <c r="M19" s="64"/>
      <c r="N19" s="65"/>
      <c r="O19" s="65"/>
    </row>
    <row r="20" spans="1:15" ht="20.25" customHeight="1">
      <c r="A20" s="13">
        <v>44</v>
      </c>
      <c r="B20" s="71" t="s">
        <v>100</v>
      </c>
      <c r="C20" s="34">
        <f t="shared" si="1"/>
        <v>48</v>
      </c>
      <c r="D20" s="35">
        <v>8</v>
      </c>
      <c r="E20" s="35"/>
      <c r="F20" s="35">
        <v>8</v>
      </c>
      <c r="G20" s="35"/>
      <c r="H20" s="35">
        <v>8</v>
      </c>
      <c r="I20" s="35"/>
      <c r="J20" s="35">
        <v>8</v>
      </c>
      <c r="K20" s="35"/>
      <c r="L20" s="35">
        <v>8</v>
      </c>
      <c r="M20" s="35"/>
      <c r="N20" s="35">
        <v>8</v>
      </c>
      <c r="O20" s="35"/>
    </row>
    <row r="21" spans="1:15" ht="20.25" customHeight="1">
      <c r="A21" s="13">
        <v>45</v>
      </c>
      <c r="B21" s="71" t="s">
        <v>101</v>
      </c>
      <c r="C21" s="34">
        <f t="shared" si="1"/>
        <v>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20.25" customHeight="1">
      <c r="A22" s="13">
        <v>41</v>
      </c>
      <c r="B22" s="71" t="s">
        <v>86</v>
      </c>
      <c r="C22" s="34">
        <f t="shared" si="1"/>
        <v>120</v>
      </c>
      <c r="D22" s="35"/>
      <c r="E22" s="35"/>
      <c r="F22" s="35"/>
      <c r="G22" s="35"/>
      <c r="H22" s="35">
        <v>40</v>
      </c>
      <c r="I22" s="35"/>
      <c r="J22" s="36"/>
      <c r="K22" s="36">
        <v>40</v>
      </c>
      <c r="L22" s="35"/>
      <c r="M22" s="35">
        <v>40</v>
      </c>
      <c r="N22" s="36"/>
      <c r="O22" s="36"/>
    </row>
    <row r="23" spans="1:15" ht="20.25" customHeight="1">
      <c r="A23" s="13">
        <v>46</v>
      </c>
      <c r="B23" s="71" t="s">
        <v>102</v>
      </c>
      <c r="C23" s="34">
        <f t="shared" si="1"/>
        <v>177</v>
      </c>
      <c r="D23" s="35"/>
      <c r="E23" s="35"/>
      <c r="F23" s="35"/>
      <c r="G23" s="35"/>
      <c r="H23" s="35"/>
      <c r="I23" s="35"/>
      <c r="J23" s="36"/>
      <c r="K23" s="36"/>
      <c r="L23" s="35"/>
      <c r="M23" s="35"/>
      <c r="N23" s="36">
        <v>68</v>
      </c>
      <c r="O23" s="36">
        <f>177-68</f>
        <v>109</v>
      </c>
    </row>
    <row r="24" spans="1:15">
      <c r="A24" s="136" t="s">
        <v>64</v>
      </c>
      <c r="B24" s="136"/>
      <c r="C24" s="66">
        <f>SUM(C6:C23)</f>
        <v>1776</v>
      </c>
      <c r="D24" s="66">
        <f>SUM(D6:D23)</f>
        <v>80</v>
      </c>
      <c r="E24" s="66">
        <f t="shared" ref="E24:O24" si="2">SUM(E6:E23)</f>
        <v>160</v>
      </c>
      <c r="F24" s="66">
        <f t="shared" si="2"/>
        <v>144</v>
      </c>
      <c r="G24" s="66">
        <f t="shared" si="2"/>
        <v>168</v>
      </c>
      <c r="H24" s="66">
        <f t="shared" si="2"/>
        <v>176</v>
      </c>
      <c r="I24" s="66">
        <f t="shared" si="2"/>
        <v>152</v>
      </c>
      <c r="J24" s="66">
        <f t="shared" si="2"/>
        <v>88</v>
      </c>
      <c r="K24" s="66">
        <f t="shared" si="2"/>
        <v>176</v>
      </c>
      <c r="L24" s="66">
        <f t="shared" si="2"/>
        <v>168</v>
      </c>
      <c r="M24" s="66">
        <f t="shared" si="2"/>
        <v>176</v>
      </c>
      <c r="N24" s="66">
        <f t="shared" si="2"/>
        <v>120</v>
      </c>
      <c r="O24" s="66">
        <f t="shared" si="2"/>
        <v>168</v>
      </c>
    </row>
    <row r="25" spans="1:15">
      <c r="A25" s="38"/>
      <c r="B25" s="39"/>
      <c r="C25" s="52">
        <f>C4-C24</f>
        <v>0</v>
      </c>
      <c r="D25" s="40">
        <f>D4-D24</f>
        <v>0</v>
      </c>
      <c r="E25" s="40">
        <f t="shared" ref="E25:O25" si="3">E4-E24</f>
        <v>0</v>
      </c>
      <c r="F25" s="40">
        <f t="shared" si="3"/>
        <v>0</v>
      </c>
      <c r="G25" s="40">
        <f t="shared" si="3"/>
        <v>0</v>
      </c>
      <c r="H25" s="40">
        <f t="shared" si="3"/>
        <v>0</v>
      </c>
      <c r="I25" s="40">
        <f t="shared" si="3"/>
        <v>0</v>
      </c>
      <c r="J25" s="40">
        <f t="shared" si="3"/>
        <v>0</v>
      </c>
      <c r="K25" s="40">
        <f>K4-K24</f>
        <v>0</v>
      </c>
      <c r="L25" s="40">
        <f t="shared" si="3"/>
        <v>0</v>
      </c>
      <c r="M25" s="40">
        <f t="shared" si="3"/>
        <v>0</v>
      </c>
      <c r="N25" s="40">
        <f t="shared" si="3"/>
        <v>0</v>
      </c>
      <c r="O25" s="40">
        <f t="shared" si="3"/>
        <v>0</v>
      </c>
    </row>
  </sheetData>
  <customSheetViews>
    <customSheetView guid="{96FD02FA-CE5E-4ADB-B35B-D1C6BC52FA4E}" fitToPage="1">
      <pane xSplit="3" ySplit="5" topLeftCell="D6" activePane="bottomRight" state="frozen"/>
      <selection pane="bottomRight" activeCell="N7" sqref="N7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1"/>
    </customSheetView>
    <customSheetView guid="{0BE8A49B-CCD8-4D2B-924B-C3C981B84E5F}" fitToPage="1">
      <pane xSplit="3" ySplit="5" topLeftCell="D6" activePane="bottomRight" state="frozen"/>
      <selection pane="bottomRight" activeCell="R12" sqref="R12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2"/>
    </customSheetView>
    <customSheetView guid="{8E208870-C947-48A4-A7D0-07C1A1950AA9}" fitToPage="1" topLeftCell="A4">
      <selection activeCell="B12" sqref="B12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3"/>
    </customSheetView>
    <customSheetView guid="{BE4FC02B-9720-4D1A-82CA-4065D419B672}" fitToPage="1">
      <pane xSplit="3" ySplit="5" topLeftCell="D6" activePane="bottomRight" state="frozen"/>
      <selection pane="bottomRight" activeCell="D9" sqref="D9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4"/>
    </customSheetView>
  </customSheetViews>
  <mergeCells count="5">
    <mergeCell ref="A1:B1"/>
    <mergeCell ref="A2:B2"/>
    <mergeCell ref="A3:B3"/>
    <mergeCell ref="A4:B4"/>
    <mergeCell ref="A24:B24"/>
  </mergeCells>
  <pageMargins left="0.51181102362204722" right="0.51181102362204722" top="0.78740157480314965" bottom="0.78740157480314965" header="0.31496062992125984" footer="0.31496062992125984"/>
  <pageSetup paperSize="9" scale="81" orientation="landscape" horizontalDpi="4294967294" verticalDpi="4294967294" r:id="rId5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5"/>
  <sheetViews>
    <sheetView workbookViewId="0">
      <selection activeCell="I13" sqref="I13"/>
    </sheetView>
  </sheetViews>
  <sheetFormatPr defaultRowHeight="15"/>
  <cols>
    <col min="1" max="1" width="9.140625" style="6"/>
    <col min="2" max="2" width="38.7109375" customWidth="1"/>
  </cols>
  <sheetData>
    <row r="1" spans="1:19">
      <c r="A1" s="130" t="s">
        <v>24</v>
      </c>
      <c r="B1" s="130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9">
      <c r="A2" s="131"/>
      <c r="B2" s="132"/>
      <c r="C2" s="22" t="s">
        <v>50</v>
      </c>
      <c r="D2" s="23" t="s">
        <v>7</v>
      </c>
      <c r="E2" s="24" t="s">
        <v>51</v>
      </c>
      <c r="F2" s="24" t="s">
        <v>52</v>
      </c>
      <c r="G2" s="25" t="s">
        <v>53</v>
      </c>
      <c r="H2" s="25" t="s">
        <v>54</v>
      </c>
      <c r="I2" s="24" t="s">
        <v>55</v>
      </c>
      <c r="J2" s="26" t="s">
        <v>56</v>
      </c>
      <c r="K2" s="26" t="s">
        <v>57</v>
      </c>
      <c r="L2" s="25" t="s">
        <v>8</v>
      </c>
      <c r="M2" s="23" t="s">
        <v>58</v>
      </c>
      <c r="N2" s="23" t="s">
        <v>9</v>
      </c>
      <c r="O2" s="27" t="s">
        <v>59</v>
      </c>
    </row>
    <row r="3" spans="1:19">
      <c r="A3" s="133" t="s">
        <v>60</v>
      </c>
      <c r="B3" s="134"/>
      <c r="C3" s="75">
        <f>SUM(D3:O3)</f>
        <v>231</v>
      </c>
      <c r="D3" s="53">
        <v>22</v>
      </c>
      <c r="E3" s="53">
        <v>20</v>
      </c>
      <c r="F3" s="76">
        <v>18</v>
      </c>
      <c r="G3" s="53">
        <v>21</v>
      </c>
      <c r="H3" s="76">
        <v>22</v>
      </c>
      <c r="I3" s="76">
        <v>19</v>
      </c>
      <c r="J3" s="76">
        <v>23</v>
      </c>
      <c r="K3" s="76">
        <v>22</v>
      </c>
      <c r="L3" s="76">
        <v>21</v>
      </c>
      <c r="M3" s="76">
        <v>22</v>
      </c>
      <c r="N3" s="77">
        <v>0</v>
      </c>
      <c r="O3" s="76">
        <v>21</v>
      </c>
    </row>
    <row r="4" spans="1:19">
      <c r="A4" s="135" t="s">
        <v>61</v>
      </c>
      <c r="B4" s="134"/>
      <c r="C4" s="75">
        <f>SUM(D4:O4)</f>
        <v>1848</v>
      </c>
      <c r="D4" s="78">
        <f>D3*8</f>
        <v>176</v>
      </c>
      <c r="E4" s="78">
        <f t="shared" ref="E4:O4" si="0">E3*8</f>
        <v>160</v>
      </c>
      <c r="F4" s="78">
        <f t="shared" si="0"/>
        <v>144</v>
      </c>
      <c r="G4" s="78">
        <f t="shared" si="0"/>
        <v>168</v>
      </c>
      <c r="H4" s="78">
        <f t="shared" si="0"/>
        <v>176</v>
      </c>
      <c r="I4" s="78">
        <f t="shared" si="0"/>
        <v>152</v>
      </c>
      <c r="J4" s="78">
        <f t="shared" si="0"/>
        <v>184</v>
      </c>
      <c r="K4" s="78">
        <f t="shared" si="0"/>
        <v>176</v>
      </c>
      <c r="L4" s="78">
        <f t="shared" si="0"/>
        <v>168</v>
      </c>
      <c r="M4" s="78">
        <f t="shared" si="0"/>
        <v>176</v>
      </c>
      <c r="N4" s="78">
        <f t="shared" si="0"/>
        <v>0</v>
      </c>
      <c r="O4" s="78">
        <f t="shared" si="0"/>
        <v>168</v>
      </c>
    </row>
    <row r="5" spans="1:19">
      <c r="A5" s="79" t="s">
        <v>62</v>
      </c>
      <c r="B5" s="80" t="s">
        <v>63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pans="1:19" ht="18" customHeight="1">
      <c r="A6" s="13">
        <v>1</v>
      </c>
      <c r="B6" s="71" t="s">
        <v>87</v>
      </c>
      <c r="C6" s="34">
        <f t="shared" ref="C6:C23" si="1">SUM(D6:O6)</f>
        <v>40</v>
      </c>
      <c r="D6" s="35">
        <v>20</v>
      </c>
      <c r="E6" s="35">
        <v>20</v>
      </c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9" ht="18" customHeight="1">
      <c r="A7" s="13">
        <v>2</v>
      </c>
      <c r="B7" s="71" t="s">
        <v>88</v>
      </c>
      <c r="C7" s="34">
        <f t="shared" si="1"/>
        <v>40</v>
      </c>
      <c r="D7" s="35">
        <v>20</v>
      </c>
      <c r="E7" s="35">
        <v>20</v>
      </c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9" ht="18" customHeight="1">
      <c r="A8" s="13">
        <v>3</v>
      </c>
      <c r="B8" s="71" t="s">
        <v>127</v>
      </c>
      <c r="C8" s="34">
        <f t="shared" si="1"/>
        <v>48</v>
      </c>
      <c r="D8" s="35"/>
      <c r="E8" s="35"/>
      <c r="F8" s="35"/>
      <c r="G8" s="35"/>
      <c r="H8" s="35"/>
      <c r="I8" s="35"/>
      <c r="J8" s="36"/>
      <c r="K8" s="36">
        <v>16</v>
      </c>
      <c r="L8" s="35"/>
      <c r="M8" s="35">
        <v>32</v>
      </c>
      <c r="N8" s="36"/>
      <c r="O8" s="36"/>
    </row>
    <row r="9" spans="1:19" ht="25.5">
      <c r="A9" s="13">
        <v>22</v>
      </c>
      <c r="B9" s="71" t="s">
        <v>126</v>
      </c>
      <c r="C9" s="34">
        <f t="shared" si="1"/>
        <v>128</v>
      </c>
      <c r="D9" s="35">
        <v>128</v>
      </c>
      <c r="E9" s="35"/>
      <c r="F9" s="35"/>
      <c r="G9" s="35"/>
      <c r="H9" s="35"/>
      <c r="I9" s="35"/>
      <c r="J9" s="36"/>
      <c r="K9" s="36"/>
      <c r="L9" s="35"/>
      <c r="M9" s="35"/>
      <c r="N9" s="36"/>
      <c r="O9" s="36"/>
    </row>
    <row r="10" spans="1:19" ht="25.5">
      <c r="A10" s="13">
        <v>8</v>
      </c>
      <c r="B10" s="71" t="s">
        <v>109</v>
      </c>
      <c r="C10" s="34">
        <f t="shared" si="1"/>
        <v>368</v>
      </c>
      <c r="D10" s="68"/>
      <c r="E10" s="35">
        <v>88</v>
      </c>
      <c r="F10" s="35">
        <v>112</v>
      </c>
      <c r="G10" s="35">
        <v>168</v>
      </c>
      <c r="H10" s="35"/>
      <c r="I10" s="35"/>
      <c r="J10" s="83"/>
      <c r="K10" s="84"/>
      <c r="L10" s="85"/>
      <c r="M10" s="35"/>
      <c r="N10" s="35"/>
      <c r="O10" s="35"/>
    </row>
    <row r="11" spans="1:19" ht="30" customHeight="1">
      <c r="A11" s="13">
        <v>23</v>
      </c>
      <c r="B11" s="93" t="s">
        <v>107</v>
      </c>
      <c r="C11" s="34">
        <f t="shared" si="1"/>
        <v>360</v>
      </c>
      <c r="D11" s="62"/>
      <c r="E11" s="44"/>
      <c r="F11" s="44"/>
      <c r="G11" s="83"/>
      <c r="H11" s="84">
        <v>128</v>
      </c>
      <c r="I11" s="85">
        <v>152</v>
      </c>
      <c r="J11" s="44">
        <v>80</v>
      </c>
      <c r="K11" s="44"/>
      <c r="L11" s="44"/>
      <c r="M11" s="44"/>
      <c r="N11" s="44"/>
      <c r="O11" s="44"/>
    </row>
    <row r="12" spans="1:19" ht="25.5" customHeight="1">
      <c r="A12" s="13">
        <v>13</v>
      </c>
      <c r="B12" s="71" t="s">
        <v>108</v>
      </c>
      <c r="C12" s="34">
        <f t="shared" si="1"/>
        <v>360</v>
      </c>
      <c r="D12" s="82"/>
      <c r="E12" s="84"/>
      <c r="F12" s="85"/>
      <c r="G12" s="44"/>
      <c r="H12" s="44"/>
      <c r="I12" s="44"/>
      <c r="J12" s="44"/>
      <c r="K12" s="44">
        <v>160</v>
      </c>
      <c r="L12" s="44">
        <v>112</v>
      </c>
      <c r="M12" s="44">
        <v>88</v>
      </c>
      <c r="N12" s="44"/>
      <c r="O12" s="44"/>
    </row>
    <row r="13" spans="1:19" s="50" customFormat="1" ht="21.75" customHeight="1">
      <c r="A13" s="13">
        <v>15</v>
      </c>
      <c r="B13" s="71" t="s">
        <v>79</v>
      </c>
      <c r="C13" s="34">
        <f t="shared" si="1"/>
        <v>16</v>
      </c>
      <c r="D13" s="44"/>
      <c r="E13" s="53">
        <v>16</v>
      </c>
      <c r="F13" s="53"/>
      <c r="G13" s="53"/>
      <c r="H13" s="53"/>
      <c r="I13" s="44"/>
      <c r="J13" s="44"/>
      <c r="K13" s="44"/>
      <c r="L13" s="44"/>
      <c r="M13" s="44"/>
      <c r="N13" s="44"/>
      <c r="O13" s="44"/>
      <c r="P13"/>
      <c r="Q13"/>
      <c r="R13"/>
      <c r="S13"/>
    </row>
    <row r="14" spans="1:19" ht="21.75" customHeight="1">
      <c r="A14" s="13">
        <v>36</v>
      </c>
      <c r="B14" s="71" t="s">
        <v>97</v>
      </c>
      <c r="C14" s="34">
        <f t="shared" si="1"/>
        <v>16</v>
      </c>
      <c r="D14" s="45"/>
      <c r="E14" s="67">
        <v>16</v>
      </c>
      <c r="F14" s="44"/>
      <c r="G14" s="46"/>
      <c r="H14" s="44"/>
      <c r="I14" s="44"/>
      <c r="J14" s="47"/>
      <c r="K14" s="47"/>
      <c r="L14" s="44"/>
      <c r="M14" s="44"/>
      <c r="N14" s="44"/>
      <c r="O14" s="47"/>
    </row>
    <row r="15" spans="1:19" ht="21.75" customHeight="1">
      <c r="A15" s="13">
        <v>10</v>
      </c>
      <c r="B15" s="71" t="s">
        <v>81</v>
      </c>
      <c r="C15" s="34">
        <f t="shared" si="1"/>
        <v>32</v>
      </c>
      <c r="D15" s="45"/>
      <c r="E15" s="62"/>
      <c r="F15" s="62">
        <v>16</v>
      </c>
      <c r="G15" s="63"/>
      <c r="H15" s="55"/>
      <c r="I15" s="55"/>
      <c r="J15" s="55">
        <v>16</v>
      </c>
      <c r="K15" s="47"/>
      <c r="L15" s="44"/>
      <c r="M15" s="44"/>
      <c r="N15" s="47"/>
      <c r="O15" s="47"/>
    </row>
    <row r="16" spans="1:19" ht="31.5" customHeight="1">
      <c r="A16" s="13">
        <v>27</v>
      </c>
      <c r="B16" s="71" t="s">
        <v>80</v>
      </c>
      <c r="C16" s="34">
        <f t="shared" si="1"/>
        <v>24</v>
      </c>
      <c r="D16" s="45"/>
      <c r="E16" s="44"/>
      <c r="F16" s="44">
        <v>8</v>
      </c>
      <c r="G16" s="49"/>
      <c r="H16" s="44"/>
      <c r="I16" s="44"/>
      <c r="J16" s="48">
        <v>16</v>
      </c>
      <c r="K16" s="48"/>
      <c r="L16" s="44"/>
      <c r="M16" s="44"/>
      <c r="N16" s="48"/>
      <c r="O16" s="48"/>
    </row>
    <row r="17" spans="1:15" ht="25.5" customHeight="1">
      <c r="A17" s="13">
        <v>11</v>
      </c>
      <c r="B17" s="71" t="s">
        <v>119</v>
      </c>
      <c r="C17" s="34">
        <f t="shared" si="1"/>
        <v>40</v>
      </c>
      <c r="D17" s="45"/>
      <c r="E17" s="44"/>
      <c r="F17" s="44"/>
      <c r="G17" s="49"/>
      <c r="H17" s="44"/>
      <c r="I17" s="44"/>
      <c r="J17" s="48">
        <v>24</v>
      </c>
      <c r="K17" s="48"/>
      <c r="L17" s="44">
        <v>16</v>
      </c>
      <c r="M17" s="44"/>
      <c r="N17" s="48"/>
      <c r="O17" s="48"/>
    </row>
    <row r="18" spans="1:15">
      <c r="A18" s="13">
        <v>25</v>
      </c>
      <c r="B18" s="71" t="s">
        <v>120</v>
      </c>
      <c r="C18" s="34">
        <f t="shared" si="1"/>
        <v>16</v>
      </c>
      <c r="D18" s="45"/>
      <c r="E18" s="44"/>
      <c r="F18" s="44"/>
      <c r="G18" s="49"/>
      <c r="H18" s="44"/>
      <c r="I18" s="44"/>
      <c r="J18" s="48"/>
      <c r="K18" s="48"/>
      <c r="L18" s="44">
        <v>16</v>
      </c>
      <c r="M18" s="44"/>
      <c r="N18" s="48"/>
      <c r="O18" s="48"/>
    </row>
    <row r="19" spans="1:15" ht="25.5">
      <c r="A19" s="13">
        <v>14</v>
      </c>
      <c r="B19" s="71" t="s">
        <v>121</v>
      </c>
      <c r="C19" s="34">
        <f t="shared" si="1"/>
        <v>16</v>
      </c>
      <c r="D19" s="45"/>
      <c r="E19" s="44"/>
      <c r="F19" s="44"/>
      <c r="G19" s="49"/>
      <c r="H19" s="44"/>
      <c r="I19" s="44"/>
      <c r="J19" s="48"/>
      <c r="K19" s="48"/>
      <c r="L19" s="44">
        <v>16</v>
      </c>
      <c r="M19" s="44"/>
      <c r="N19" s="48"/>
      <c r="O19" s="48"/>
    </row>
    <row r="20" spans="1:15">
      <c r="A20" s="13">
        <v>44</v>
      </c>
      <c r="B20" s="71" t="s">
        <v>100</v>
      </c>
      <c r="C20" s="34">
        <f t="shared" si="1"/>
        <v>40</v>
      </c>
      <c r="D20" s="35">
        <v>8</v>
      </c>
      <c r="E20" s="35"/>
      <c r="F20" s="35">
        <v>8</v>
      </c>
      <c r="G20" s="35"/>
      <c r="H20" s="35">
        <v>8</v>
      </c>
      <c r="I20" s="35"/>
      <c r="J20" s="35">
        <v>8</v>
      </c>
      <c r="K20" s="35"/>
      <c r="L20" s="35">
        <v>8</v>
      </c>
      <c r="M20" s="35"/>
      <c r="N20" s="35"/>
      <c r="O20" s="35"/>
    </row>
    <row r="21" spans="1:15">
      <c r="A21" s="13">
        <v>45</v>
      </c>
      <c r="B21" s="71" t="s">
        <v>101</v>
      </c>
      <c r="C21" s="34">
        <f t="shared" si="1"/>
        <v>0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>
      <c r="A22" s="13">
        <v>41</v>
      </c>
      <c r="B22" s="71" t="s">
        <v>86</v>
      </c>
      <c r="C22" s="34">
        <f t="shared" si="1"/>
        <v>120</v>
      </c>
      <c r="D22" s="35"/>
      <c r="E22" s="35"/>
      <c r="F22" s="35"/>
      <c r="G22" s="35"/>
      <c r="H22" s="35">
        <v>40</v>
      </c>
      <c r="I22" s="35"/>
      <c r="J22" s="36">
        <v>40</v>
      </c>
      <c r="K22" s="36"/>
      <c r="L22" s="35"/>
      <c r="M22" s="35">
        <v>40</v>
      </c>
      <c r="N22" s="36"/>
      <c r="O22" s="36"/>
    </row>
    <row r="23" spans="1:15">
      <c r="A23" s="13">
        <v>46</v>
      </c>
      <c r="B23" s="71" t="s">
        <v>102</v>
      </c>
      <c r="C23" s="34">
        <f t="shared" si="1"/>
        <v>184</v>
      </c>
      <c r="D23" s="35"/>
      <c r="E23" s="35"/>
      <c r="F23" s="35"/>
      <c r="G23" s="35"/>
      <c r="H23" s="35"/>
      <c r="I23" s="35"/>
      <c r="J23" s="36"/>
      <c r="K23" s="36"/>
      <c r="L23" s="35"/>
      <c r="M23" s="35">
        <f>184-168</f>
        <v>16</v>
      </c>
      <c r="N23" s="36"/>
      <c r="O23" s="36">
        <v>168</v>
      </c>
    </row>
    <row r="24" spans="1:15">
      <c r="A24" s="136" t="s">
        <v>64</v>
      </c>
      <c r="B24" s="136"/>
      <c r="C24" s="51">
        <f>SUM(C6:C23)</f>
        <v>1848</v>
      </c>
      <c r="D24" s="51">
        <f>SUM(D6:D23)</f>
        <v>176</v>
      </c>
      <c r="E24" s="51">
        <f t="shared" ref="E24:O24" si="2">SUM(E6:E23)</f>
        <v>160</v>
      </c>
      <c r="F24" s="51">
        <f t="shared" si="2"/>
        <v>144</v>
      </c>
      <c r="G24" s="51">
        <f t="shared" si="2"/>
        <v>168</v>
      </c>
      <c r="H24" s="51">
        <f t="shared" si="2"/>
        <v>176</v>
      </c>
      <c r="I24" s="51">
        <f t="shared" si="2"/>
        <v>152</v>
      </c>
      <c r="J24" s="51">
        <f t="shared" si="2"/>
        <v>184</v>
      </c>
      <c r="K24" s="51">
        <f t="shared" si="2"/>
        <v>176</v>
      </c>
      <c r="L24" s="51">
        <f t="shared" si="2"/>
        <v>168</v>
      </c>
      <c r="M24" s="51">
        <f t="shared" si="2"/>
        <v>176</v>
      </c>
      <c r="N24" s="51">
        <f t="shared" si="2"/>
        <v>0</v>
      </c>
      <c r="O24" s="51">
        <f t="shared" si="2"/>
        <v>168</v>
      </c>
    </row>
    <row r="25" spans="1:15">
      <c r="A25" s="38"/>
      <c r="B25" s="39"/>
      <c r="C25" s="39"/>
      <c r="D25" s="40">
        <f t="shared" ref="D25:O25" si="3">D4-D24</f>
        <v>0</v>
      </c>
      <c r="E25" s="40">
        <f t="shared" si="3"/>
        <v>0</v>
      </c>
      <c r="F25" s="40">
        <f t="shared" si="3"/>
        <v>0</v>
      </c>
      <c r="G25" s="40">
        <f t="shared" si="3"/>
        <v>0</v>
      </c>
      <c r="H25" s="40">
        <f t="shared" si="3"/>
        <v>0</v>
      </c>
      <c r="I25" s="40">
        <f t="shared" si="3"/>
        <v>0</v>
      </c>
      <c r="J25" s="40">
        <f t="shared" si="3"/>
        <v>0</v>
      </c>
      <c r="K25" s="40">
        <f t="shared" si="3"/>
        <v>0</v>
      </c>
      <c r="L25" s="40">
        <f t="shared" si="3"/>
        <v>0</v>
      </c>
      <c r="M25" s="40">
        <f t="shared" si="3"/>
        <v>0</v>
      </c>
      <c r="N25" s="40">
        <f t="shared" si="3"/>
        <v>0</v>
      </c>
      <c r="O25" s="40">
        <f t="shared" si="3"/>
        <v>0</v>
      </c>
    </row>
  </sheetData>
  <customSheetViews>
    <customSheetView guid="{96FD02FA-CE5E-4ADB-B35B-D1C6BC52FA4E}" fitToPage="1">
      <pane xSplit="3" ySplit="5" topLeftCell="D6" activePane="bottomRight" state="frozen"/>
      <selection pane="bottomRight" activeCell="E23" sqref="E23"/>
      <pageMargins left="0.47" right="0.51181102362204722" top="0.78740157480314965" bottom="0.78740157480314965" header="0.31496062992125984" footer="0.31496062992125984"/>
      <pageSetup paperSize="9" scale="81" orientation="landscape" horizontalDpi="4294967294" verticalDpi="4294967294" r:id="rId1"/>
    </customSheetView>
    <customSheetView guid="{0BE8A49B-CCD8-4D2B-924B-C3C981B84E5F}" fitToPage="1">
      <selection activeCell="I13" sqref="I13"/>
      <pageMargins left="0.47" right="0.51181102362204722" top="0.78740157480314965" bottom="0.78740157480314965" header="0.31496062992125984" footer="0.31496062992125984"/>
      <pageSetup paperSize="9" scale="81" orientation="landscape" horizontalDpi="4294967294" verticalDpi="4294967294" r:id="rId2"/>
    </customSheetView>
    <customSheetView guid="{8E208870-C947-48A4-A7D0-07C1A1950AA9}" fitToPage="1">
      <pane xSplit="3" ySplit="5" topLeftCell="D9" activePane="bottomRight" state="frozen"/>
      <selection pane="bottomRight" activeCell="K12" sqref="K12"/>
      <pageMargins left="0.47" right="0.51181102362204722" top="0.78740157480314965" bottom="0.78740157480314965" header="0.31496062992125984" footer="0.31496062992125984"/>
      <pageSetup paperSize="9" scale="81" orientation="landscape" horizontalDpi="4294967294" verticalDpi="4294967294" r:id="rId3"/>
    </customSheetView>
    <customSheetView guid="{BE4FC02B-9720-4D1A-82CA-4065D419B672}" fitToPage="1">
      <pane xSplit="3" ySplit="5" topLeftCell="D6" activePane="bottomRight" state="frozen"/>
      <selection pane="bottomRight" activeCell="B11" sqref="B11"/>
      <pageMargins left="0.47" right="0.51181102362204722" top="0.78740157480314965" bottom="0.78740157480314965" header="0.31496062992125984" footer="0.31496062992125984"/>
      <pageSetup paperSize="9" scale="81" orientation="landscape" horizontalDpi="4294967294" verticalDpi="4294967294" r:id="rId4"/>
    </customSheetView>
  </customSheetViews>
  <mergeCells count="5">
    <mergeCell ref="A1:B1"/>
    <mergeCell ref="A2:B2"/>
    <mergeCell ref="A3:B3"/>
    <mergeCell ref="A4:B4"/>
    <mergeCell ref="A24:B24"/>
  </mergeCells>
  <pageMargins left="0.47" right="0.51181102362204722" top="0.78740157480314965" bottom="0.78740157480314965" header="0.31496062992125984" footer="0.31496062992125984"/>
  <pageSetup paperSize="9" scale="81" orientation="landscape" horizontalDpi="4294967294" verticalDpi="4294967294" r:id="rId5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workbookViewId="0">
      <selection activeCell="G22" sqref="G22"/>
    </sheetView>
  </sheetViews>
  <sheetFormatPr defaultRowHeight="15"/>
  <cols>
    <col min="1" max="1" width="9.140625" style="6"/>
    <col min="2" max="2" width="45.7109375" customWidth="1"/>
  </cols>
  <sheetData>
    <row r="1" spans="1:15">
      <c r="A1" s="130" t="s">
        <v>65</v>
      </c>
      <c r="B1" s="130"/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</row>
    <row r="2" spans="1:15">
      <c r="A2" s="131"/>
      <c r="B2" s="132"/>
      <c r="C2" s="22" t="s">
        <v>50</v>
      </c>
      <c r="D2" s="23" t="s">
        <v>7</v>
      </c>
      <c r="E2" s="24" t="s">
        <v>51</v>
      </c>
      <c r="F2" s="24" t="s">
        <v>52</v>
      </c>
      <c r="G2" s="25" t="s">
        <v>53</v>
      </c>
      <c r="H2" s="25" t="s">
        <v>54</v>
      </c>
      <c r="I2" s="24" t="s">
        <v>55</v>
      </c>
      <c r="J2" s="26" t="s">
        <v>56</v>
      </c>
      <c r="K2" s="26" t="s">
        <v>57</v>
      </c>
      <c r="L2" s="25" t="s">
        <v>8</v>
      </c>
      <c r="M2" s="23" t="s">
        <v>58</v>
      </c>
      <c r="N2" s="23" t="s">
        <v>9</v>
      </c>
      <c r="O2" s="27" t="s">
        <v>59</v>
      </c>
    </row>
    <row r="3" spans="1:15">
      <c r="A3" s="133" t="s">
        <v>60</v>
      </c>
      <c r="B3" s="134"/>
      <c r="C3" s="28">
        <f>SUM(D3:O3)</f>
        <v>230</v>
      </c>
      <c r="D3" s="42">
        <v>22</v>
      </c>
      <c r="E3" s="42">
        <v>20</v>
      </c>
      <c r="F3" s="29">
        <v>18</v>
      </c>
      <c r="G3" s="42">
        <v>21</v>
      </c>
      <c r="H3" s="29">
        <v>22</v>
      </c>
      <c r="I3" s="29">
        <v>19</v>
      </c>
      <c r="J3" s="29">
        <v>23</v>
      </c>
      <c r="K3" s="29">
        <v>22</v>
      </c>
      <c r="L3" s="29">
        <v>21</v>
      </c>
      <c r="M3" s="29">
        <v>22</v>
      </c>
      <c r="N3" s="29">
        <v>20</v>
      </c>
      <c r="O3" s="59">
        <v>0</v>
      </c>
    </row>
    <row r="4" spans="1:15">
      <c r="A4" s="135" t="s">
        <v>61</v>
      </c>
      <c r="B4" s="134"/>
      <c r="C4" s="28">
        <f>SUM(D4:O4)</f>
        <v>1840</v>
      </c>
      <c r="D4" s="30">
        <f>D3*8</f>
        <v>176</v>
      </c>
      <c r="E4" s="30">
        <f t="shared" ref="E4:O4" si="0">E3*8</f>
        <v>160</v>
      </c>
      <c r="F4" s="30">
        <f t="shared" si="0"/>
        <v>144</v>
      </c>
      <c r="G4" s="30">
        <f t="shared" si="0"/>
        <v>168</v>
      </c>
      <c r="H4" s="30">
        <f t="shared" si="0"/>
        <v>176</v>
      </c>
      <c r="I4" s="30">
        <f t="shared" si="0"/>
        <v>152</v>
      </c>
      <c r="J4" s="30">
        <f t="shared" si="0"/>
        <v>184</v>
      </c>
      <c r="K4" s="30">
        <f t="shared" si="0"/>
        <v>176</v>
      </c>
      <c r="L4" s="30">
        <f t="shared" si="0"/>
        <v>168</v>
      </c>
      <c r="M4" s="30">
        <f t="shared" si="0"/>
        <v>176</v>
      </c>
      <c r="N4" s="30">
        <f t="shared" si="0"/>
        <v>160</v>
      </c>
      <c r="O4" s="30">
        <f t="shared" si="0"/>
        <v>0</v>
      </c>
    </row>
    <row r="5" spans="1:15">
      <c r="A5" s="31" t="s">
        <v>62</v>
      </c>
      <c r="B5" s="32" t="s">
        <v>63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21.75" customHeight="1">
      <c r="A6" s="13">
        <v>1</v>
      </c>
      <c r="B6" s="71" t="s">
        <v>127</v>
      </c>
      <c r="C6" s="34">
        <f t="shared" ref="C6:C18" si="1">SUM(D6:O6)</f>
        <v>16</v>
      </c>
      <c r="D6" s="35"/>
      <c r="E6" s="35"/>
      <c r="F6" s="35"/>
      <c r="G6" s="35"/>
      <c r="H6" s="35"/>
      <c r="I6" s="35"/>
      <c r="J6" s="36"/>
      <c r="K6" s="36"/>
      <c r="L6" s="35">
        <v>8</v>
      </c>
      <c r="M6" s="35">
        <v>8</v>
      </c>
      <c r="N6" s="36"/>
      <c r="O6" s="36"/>
    </row>
    <row r="7" spans="1:15" ht="21.75" customHeight="1">
      <c r="A7" s="13">
        <v>29</v>
      </c>
      <c r="B7" s="94" t="s">
        <v>106</v>
      </c>
      <c r="C7" s="34">
        <f>SUM(D7:O7)</f>
        <v>184</v>
      </c>
      <c r="D7" s="44">
        <v>168</v>
      </c>
      <c r="E7" s="44">
        <v>16</v>
      </c>
      <c r="F7" s="44"/>
      <c r="G7" s="49"/>
      <c r="H7" s="44"/>
      <c r="I7" s="44"/>
      <c r="J7" s="44"/>
      <c r="K7" s="48"/>
      <c r="L7" s="44"/>
      <c r="M7" s="44"/>
      <c r="N7" s="48"/>
      <c r="O7" s="48"/>
    </row>
    <row r="8" spans="1:15" s="54" customFormat="1" ht="21.75" customHeight="1">
      <c r="A8" s="13">
        <v>30</v>
      </c>
      <c r="B8" s="71" t="s">
        <v>104</v>
      </c>
      <c r="C8" s="34">
        <f>SUM(D8:O8)</f>
        <v>408</v>
      </c>
      <c r="D8" s="35"/>
      <c r="E8" s="35">
        <f>120-16</f>
        <v>104</v>
      </c>
      <c r="F8" s="35">
        <v>136</v>
      </c>
      <c r="G8" s="44">
        <v>152</v>
      </c>
      <c r="H8" s="55">
        <v>16</v>
      </c>
      <c r="I8" s="55"/>
      <c r="J8" s="44"/>
      <c r="K8" s="44"/>
      <c r="L8" s="44"/>
      <c r="M8" s="55"/>
      <c r="N8" s="55"/>
      <c r="O8" s="44"/>
    </row>
    <row r="9" spans="1:15" ht="21.75" customHeight="1">
      <c r="A9" s="13">
        <v>19</v>
      </c>
      <c r="B9" s="71" t="s">
        <v>103</v>
      </c>
      <c r="C9" s="34">
        <f t="shared" si="1"/>
        <v>408</v>
      </c>
      <c r="D9" s="55"/>
      <c r="E9" s="55"/>
      <c r="F9" s="55"/>
      <c r="G9" s="35"/>
      <c r="H9" s="35">
        <v>112</v>
      </c>
      <c r="I9" s="35">
        <v>152</v>
      </c>
      <c r="J9" s="36">
        <v>144</v>
      </c>
      <c r="K9" s="36"/>
      <c r="L9" s="35"/>
      <c r="M9" s="35"/>
      <c r="N9" s="35"/>
      <c r="O9" s="35"/>
    </row>
    <row r="10" spans="1:15" ht="21.75" customHeight="1">
      <c r="A10" s="13">
        <v>31</v>
      </c>
      <c r="B10" s="71" t="s">
        <v>105</v>
      </c>
      <c r="C10" s="34">
        <f t="shared" si="1"/>
        <v>438</v>
      </c>
      <c r="D10" s="44"/>
      <c r="E10" s="44"/>
      <c r="F10" s="44"/>
      <c r="G10" s="49"/>
      <c r="H10" s="44"/>
      <c r="I10" s="44"/>
      <c r="J10" s="44"/>
      <c r="K10" s="48">
        <v>176</v>
      </c>
      <c r="L10" s="44">
        <v>112</v>
      </c>
      <c r="M10" s="44">
        <v>150</v>
      </c>
      <c r="N10" s="48"/>
      <c r="O10" s="48"/>
    </row>
    <row r="11" spans="1:15" ht="21.75" customHeight="1">
      <c r="A11" s="13">
        <v>34</v>
      </c>
      <c r="B11" s="95" t="s">
        <v>111</v>
      </c>
      <c r="C11" s="34">
        <f t="shared" si="1"/>
        <v>32</v>
      </c>
      <c r="D11" s="44"/>
      <c r="E11" s="44"/>
      <c r="F11" s="44"/>
      <c r="G11" s="49">
        <v>16</v>
      </c>
      <c r="H11" s="44"/>
      <c r="I11" s="44"/>
      <c r="J11" s="44">
        <v>16</v>
      </c>
      <c r="K11" s="48"/>
      <c r="L11" s="44"/>
      <c r="M11" s="44"/>
      <c r="N11" s="48"/>
      <c r="O11" s="48"/>
    </row>
    <row r="12" spans="1:15" ht="21.75" customHeight="1">
      <c r="A12" s="13">
        <v>33</v>
      </c>
      <c r="B12" s="95" t="s">
        <v>114</v>
      </c>
      <c r="C12" s="34">
        <f>SUM(D12:O12)</f>
        <v>16</v>
      </c>
      <c r="D12" s="44"/>
      <c r="E12" s="44"/>
      <c r="F12" s="44"/>
      <c r="G12" s="49"/>
      <c r="H12" s="44"/>
      <c r="I12" s="44"/>
      <c r="J12" s="44">
        <v>16</v>
      </c>
      <c r="K12" s="48"/>
      <c r="L12" s="44"/>
      <c r="M12" s="44"/>
      <c r="N12" s="48"/>
      <c r="O12" s="48"/>
    </row>
    <row r="13" spans="1:15" ht="21.75" customHeight="1">
      <c r="A13" s="13" t="s">
        <v>204</v>
      </c>
      <c r="B13" s="95" t="s">
        <v>125</v>
      </c>
      <c r="C13" s="34">
        <f t="shared" si="1"/>
        <v>0</v>
      </c>
      <c r="D13" s="44"/>
      <c r="E13" s="44"/>
      <c r="F13" s="44"/>
      <c r="G13" s="49"/>
      <c r="H13" s="44"/>
      <c r="I13" s="44"/>
      <c r="J13" s="44"/>
      <c r="K13" s="48"/>
      <c r="L13" s="44"/>
      <c r="M13" s="44"/>
      <c r="N13" s="48"/>
      <c r="O13" s="48"/>
    </row>
    <row r="14" spans="1:15" ht="21.75" customHeight="1">
      <c r="A14" s="13" t="s">
        <v>204</v>
      </c>
      <c r="B14" s="95" t="s">
        <v>115</v>
      </c>
      <c r="C14" s="34">
        <f t="shared" si="1"/>
        <v>0</v>
      </c>
      <c r="D14" s="44"/>
      <c r="E14" s="44"/>
      <c r="F14" s="44"/>
      <c r="G14" s="49"/>
      <c r="H14" s="44"/>
      <c r="I14" s="44"/>
      <c r="J14" s="44"/>
      <c r="K14" s="48"/>
      <c r="L14" s="44"/>
      <c r="M14" s="44"/>
      <c r="N14" s="48"/>
      <c r="O14" s="48"/>
    </row>
    <row r="15" spans="1:15" ht="21.75" customHeight="1">
      <c r="A15" s="13">
        <v>44</v>
      </c>
      <c r="B15" s="71" t="s">
        <v>100</v>
      </c>
      <c r="C15" s="34">
        <f t="shared" si="1"/>
        <v>48</v>
      </c>
      <c r="D15" s="35">
        <v>8</v>
      </c>
      <c r="E15" s="35"/>
      <c r="F15" s="35">
        <v>8</v>
      </c>
      <c r="G15" s="35"/>
      <c r="H15" s="35">
        <v>8</v>
      </c>
      <c r="I15" s="35"/>
      <c r="J15" s="35">
        <v>8</v>
      </c>
      <c r="K15" s="35"/>
      <c r="L15" s="35">
        <v>8</v>
      </c>
      <c r="M15" s="35"/>
      <c r="N15" s="35">
        <v>8</v>
      </c>
      <c r="O15" s="35"/>
    </row>
    <row r="16" spans="1:15" ht="21.75" customHeight="1">
      <c r="A16" s="13">
        <v>45</v>
      </c>
      <c r="B16" s="71" t="s">
        <v>101</v>
      </c>
      <c r="C16" s="34">
        <f t="shared" si="1"/>
        <v>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21.75" customHeight="1">
      <c r="A17" s="13">
        <v>41</v>
      </c>
      <c r="B17" s="71" t="s">
        <v>86</v>
      </c>
      <c r="C17" s="34">
        <f t="shared" si="1"/>
        <v>120</v>
      </c>
      <c r="D17" s="35"/>
      <c r="E17" s="35">
        <v>40</v>
      </c>
      <c r="F17" s="35"/>
      <c r="G17" s="35"/>
      <c r="H17" s="35">
        <v>40</v>
      </c>
      <c r="I17" s="35"/>
      <c r="J17" s="36"/>
      <c r="K17" s="36"/>
      <c r="L17" s="35">
        <v>40</v>
      </c>
      <c r="M17" s="35"/>
      <c r="N17" s="36"/>
      <c r="O17" s="36"/>
    </row>
    <row r="18" spans="1:15" ht="21.75" customHeight="1">
      <c r="A18" s="13">
        <v>46</v>
      </c>
      <c r="B18" s="71" t="s">
        <v>102</v>
      </c>
      <c r="C18" s="34">
        <f t="shared" si="1"/>
        <v>170</v>
      </c>
      <c r="D18" s="35"/>
      <c r="E18" s="35"/>
      <c r="F18" s="35"/>
      <c r="G18" s="35"/>
      <c r="H18" s="35"/>
      <c r="I18" s="35"/>
      <c r="J18" s="36"/>
      <c r="K18" s="36"/>
      <c r="L18" s="35"/>
      <c r="M18" s="35">
        <v>18</v>
      </c>
      <c r="N18" s="36">
        <v>152</v>
      </c>
      <c r="O18" s="36"/>
    </row>
    <row r="19" spans="1:15">
      <c r="A19" s="136" t="s">
        <v>64</v>
      </c>
      <c r="B19" s="137"/>
      <c r="C19" s="37">
        <f t="shared" ref="C19:O19" si="2">SUM(C6:C18)</f>
        <v>1840</v>
      </c>
      <c r="D19" s="37">
        <f t="shared" si="2"/>
        <v>176</v>
      </c>
      <c r="E19" s="37">
        <f t="shared" si="2"/>
        <v>160</v>
      </c>
      <c r="F19" s="37">
        <f t="shared" si="2"/>
        <v>144</v>
      </c>
      <c r="G19" s="37">
        <f t="shared" si="2"/>
        <v>168</v>
      </c>
      <c r="H19" s="37">
        <f t="shared" si="2"/>
        <v>176</v>
      </c>
      <c r="I19" s="37">
        <f t="shared" si="2"/>
        <v>152</v>
      </c>
      <c r="J19" s="37">
        <f t="shared" si="2"/>
        <v>184</v>
      </c>
      <c r="K19" s="37">
        <f t="shared" si="2"/>
        <v>176</v>
      </c>
      <c r="L19" s="37">
        <f t="shared" si="2"/>
        <v>168</v>
      </c>
      <c r="M19" s="37">
        <f t="shared" si="2"/>
        <v>176</v>
      </c>
      <c r="N19" s="37">
        <f t="shared" si="2"/>
        <v>160</v>
      </c>
      <c r="O19" s="37">
        <f t="shared" si="2"/>
        <v>0</v>
      </c>
    </row>
    <row r="20" spans="1:15">
      <c r="A20" s="38"/>
      <c r="B20" s="39"/>
      <c r="C20" s="39"/>
      <c r="D20" s="40">
        <f t="shared" ref="D20:O20" si="3">D4-D19</f>
        <v>0</v>
      </c>
      <c r="E20" s="40">
        <f t="shared" si="3"/>
        <v>0</v>
      </c>
      <c r="F20" s="40">
        <f t="shared" si="3"/>
        <v>0</v>
      </c>
      <c r="G20" s="40">
        <f t="shared" si="3"/>
        <v>0</v>
      </c>
      <c r="H20" s="40">
        <f t="shared" si="3"/>
        <v>0</v>
      </c>
      <c r="I20" s="40">
        <f t="shared" si="3"/>
        <v>0</v>
      </c>
      <c r="J20" s="40">
        <f t="shared" si="3"/>
        <v>0</v>
      </c>
      <c r="K20" s="40">
        <f t="shared" si="3"/>
        <v>0</v>
      </c>
      <c r="L20" s="40">
        <f t="shared" si="3"/>
        <v>0</v>
      </c>
      <c r="M20" s="40">
        <f t="shared" si="3"/>
        <v>0</v>
      </c>
      <c r="N20" s="40">
        <f t="shared" si="3"/>
        <v>0</v>
      </c>
      <c r="O20" s="40">
        <f t="shared" si="3"/>
        <v>0</v>
      </c>
    </row>
  </sheetData>
  <customSheetViews>
    <customSheetView guid="{96FD02FA-CE5E-4ADB-B35B-D1C6BC52FA4E}" fitToPage="1">
      <pane xSplit="3" ySplit="5" topLeftCell="D6" activePane="bottomRight" state="frozen"/>
      <selection pane="bottomRight" activeCell="A8" sqref="A8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1"/>
    </customSheetView>
    <customSheetView guid="{0BE8A49B-CCD8-4D2B-924B-C3C981B84E5F}" fitToPage="1">
      <selection activeCell="G22" sqref="G22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2"/>
    </customSheetView>
    <customSheetView guid="{8E208870-C947-48A4-A7D0-07C1A1950AA9}" fitToPage="1">
      <selection activeCell="A6" sqref="A6:XFD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3"/>
    </customSheetView>
    <customSheetView guid="{BE4FC02B-9720-4D1A-82CA-4065D419B672}" fitToPage="1">
      <pane xSplit="3" ySplit="5" topLeftCell="D6" activePane="bottomRight" state="frozen"/>
      <selection pane="bottomRight" activeCell="H14" sqref="H14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4"/>
    </customSheetView>
  </customSheetViews>
  <mergeCells count="5">
    <mergeCell ref="A1:B1"/>
    <mergeCell ref="A2:B2"/>
    <mergeCell ref="A3:B3"/>
    <mergeCell ref="A4:B4"/>
    <mergeCell ref="A19:B19"/>
  </mergeCells>
  <pageMargins left="0.51181102362204722" right="0.51181102362204722" top="0.78740157480314965" bottom="0.78740157480314965" header="0.31496062992125984" footer="0.31496062992125984"/>
  <pageSetup paperSize="9" scale="81" orientation="landscape" horizontalDpi="4294967294" verticalDpi="4294967294" r:id="rId5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96FD02FA-CE5E-4ADB-B35B-D1C6BC52FA4E}" state="hidden">
      <pageMargins left="0.511811024" right="0.511811024" top="0.78740157499999996" bottom="0.78740157499999996" header="0.31496062000000002" footer="0.31496062000000002"/>
    </customSheetView>
    <customSheetView guid="{BE4FC02B-9720-4D1A-82CA-4065D419B672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F5" sqref="F5"/>
    </sheetView>
  </sheetViews>
  <sheetFormatPr defaultRowHeight="12.75"/>
  <cols>
    <col min="1" max="1" width="9.140625" style="6" customWidth="1"/>
    <col min="2" max="2" width="16.85546875" style="6" customWidth="1"/>
    <col min="3" max="3" width="17" style="6" customWidth="1"/>
    <col min="4" max="4" width="28.5703125" style="97" customWidth="1"/>
    <col min="5" max="5" width="19" style="6" customWidth="1"/>
    <col min="6" max="6" width="11.7109375" style="6" customWidth="1"/>
    <col min="7" max="7" width="11" style="6" customWidth="1"/>
    <col min="8" max="8" width="14.7109375" style="6" customWidth="1"/>
    <col min="9" max="16384" width="9.140625" style="6"/>
  </cols>
  <sheetData>
    <row r="1" spans="1:8" ht="24" customHeight="1">
      <c r="A1" s="126" t="s">
        <v>39</v>
      </c>
      <c r="B1" s="126"/>
      <c r="C1" s="126"/>
      <c r="D1" s="126"/>
      <c r="E1" s="126"/>
      <c r="F1" s="126"/>
      <c r="G1" s="126"/>
      <c r="H1" s="126"/>
    </row>
    <row r="2" spans="1:8" ht="25.5">
      <c r="A2" s="1" t="s">
        <v>0</v>
      </c>
      <c r="B2" s="2" t="s">
        <v>1</v>
      </c>
      <c r="C2" s="2" t="s">
        <v>19</v>
      </c>
      <c r="D2" s="2" t="s">
        <v>3</v>
      </c>
      <c r="E2" s="2" t="s">
        <v>18</v>
      </c>
      <c r="F2" s="2" t="s">
        <v>4</v>
      </c>
      <c r="G2" s="2" t="s">
        <v>5</v>
      </c>
      <c r="H2" s="2" t="s">
        <v>40</v>
      </c>
    </row>
    <row r="3" spans="1:8" ht="109.5" customHeight="1">
      <c r="A3" s="3">
        <v>8</v>
      </c>
      <c r="B3" s="4" t="s">
        <v>75</v>
      </c>
      <c r="C3" s="4" t="s">
        <v>66</v>
      </c>
      <c r="D3" s="4" t="s">
        <v>195</v>
      </c>
      <c r="E3" s="4" t="s">
        <v>84</v>
      </c>
      <c r="F3" s="4" t="s">
        <v>190</v>
      </c>
      <c r="G3" s="11">
        <f>184</f>
        <v>184</v>
      </c>
      <c r="H3" s="4" t="s">
        <v>24</v>
      </c>
    </row>
    <row r="4" spans="1:8" ht="63" customHeight="1">
      <c r="A4" s="3">
        <v>9</v>
      </c>
      <c r="B4" s="4" t="s">
        <v>82</v>
      </c>
      <c r="C4" s="4" t="s">
        <v>162</v>
      </c>
      <c r="D4" s="4" t="s">
        <v>189</v>
      </c>
      <c r="E4" s="4" t="s">
        <v>84</v>
      </c>
      <c r="F4" s="4" t="s">
        <v>176</v>
      </c>
      <c r="G4" s="10">
        <f>32</f>
        <v>32</v>
      </c>
      <c r="H4" s="4" t="s">
        <v>23</v>
      </c>
    </row>
    <row r="5" spans="1:8" ht="67.5" customHeight="1">
      <c r="A5" s="3">
        <v>10</v>
      </c>
      <c r="B5" s="4" t="s">
        <v>81</v>
      </c>
      <c r="C5" s="4" t="s">
        <v>162</v>
      </c>
      <c r="D5" s="4" t="s">
        <v>189</v>
      </c>
      <c r="E5" s="4" t="s">
        <v>84</v>
      </c>
      <c r="F5" s="4" t="s">
        <v>177</v>
      </c>
      <c r="G5" s="10">
        <f>32</f>
        <v>32</v>
      </c>
      <c r="H5" s="4" t="s">
        <v>24</v>
      </c>
    </row>
    <row r="6" spans="1:8" ht="63.75" customHeight="1">
      <c r="A6" s="3">
        <v>11</v>
      </c>
      <c r="B6" s="4" t="s">
        <v>119</v>
      </c>
      <c r="C6" s="4" t="s">
        <v>163</v>
      </c>
      <c r="D6" s="4" t="s">
        <v>158</v>
      </c>
      <c r="E6" s="4" t="s">
        <v>84</v>
      </c>
      <c r="F6" s="4" t="s">
        <v>178</v>
      </c>
      <c r="G6" s="10">
        <f>40</f>
        <v>40</v>
      </c>
      <c r="H6" s="4" t="s">
        <v>24</v>
      </c>
    </row>
    <row r="7" spans="1:8" s="97" customFormat="1" ht="19.5" customHeight="1">
      <c r="D7" s="102"/>
      <c r="E7" s="117" t="s">
        <v>15</v>
      </c>
      <c r="F7" s="118"/>
      <c r="G7" s="100">
        <f>SUM(G3:G6)</f>
        <v>288</v>
      </c>
    </row>
    <row r="9" spans="1:8">
      <c r="G9" s="96"/>
    </row>
  </sheetData>
  <customSheetViews>
    <customSheetView guid="{96FD02FA-CE5E-4ADB-B35B-D1C6BC52FA4E}" fitToPage="1">
      <selection activeCell="H10" sqref="H1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 fitToPage="1">
      <selection activeCell="A5" sqref="A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 fitToPage="1">
      <selection activeCell="F5" sqref="F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8E208870-C947-48A4-A7D0-07C1A1950AA9}" fitToPage="1">
      <selection activeCell="G6" sqref="G6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BE4FC02B-9720-4D1A-82CA-4065D419B672}" showPageBreaks="1" fitToPage="1">
      <selection activeCell="G3" sqref="G3"/>
      <pageMargins left="0.51181102362204722" right="0.51181102362204722" top="0.5699999999999999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O5" sqref="O5"/>
    </sheetView>
  </sheetViews>
  <sheetFormatPr defaultRowHeight="12.75"/>
  <cols>
    <col min="1" max="1" width="9.140625" style="6" customWidth="1"/>
    <col min="2" max="2" width="16.85546875" style="6" customWidth="1"/>
    <col min="3" max="3" width="15.85546875" style="6" customWidth="1"/>
    <col min="4" max="4" width="29.42578125" style="97" customWidth="1"/>
    <col min="5" max="5" width="19" style="6" customWidth="1"/>
    <col min="6" max="6" width="11.7109375" style="6" customWidth="1"/>
    <col min="7" max="7" width="11" style="6" customWidth="1"/>
    <col min="8" max="8" width="14.7109375" style="6" customWidth="1"/>
    <col min="9" max="16384" width="9.140625" style="6"/>
  </cols>
  <sheetData>
    <row r="1" spans="1:8" ht="23.25" customHeight="1">
      <c r="A1" s="126" t="s">
        <v>45</v>
      </c>
      <c r="B1" s="126"/>
      <c r="C1" s="126"/>
      <c r="D1" s="126"/>
      <c r="E1" s="126"/>
      <c r="F1" s="126"/>
      <c r="G1" s="126"/>
      <c r="H1" s="126"/>
    </row>
    <row r="2" spans="1:8" ht="25.5">
      <c r="A2" s="1" t="s">
        <v>0</v>
      </c>
      <c r="B2" s="2" t="s">
        <v>1</v>
      </c>
      <c r="C2" s="2" t="s">
        <v>19</v>
      </c>
      <c r="D2" s="2" t="s">
        <v>3</v>
      </c>
      <c r="E2" s="2" t="s">
        <v>18</v>
      </c>
      <c r="F2" s="2" t="s">
        <v>4</v>
      </c>
      <c r="G2" s="2" t="s">
        <v>5</v>
      </c>
      <c r="H2" s="2" t="s">
        <v>12</v>
      </c>
    </row>
    <row r="3" spans="1:8" ht="102.75" customHeight="1">
      <c r="A3" s="3">
        <v>12</v>
      </c>
      <c r="B3" s="4" t="s">
        <v>128</v>
      </c>
      <c r="C3" s="4" t="s">
        <v>66</v>
      </c>
      <c r="D3" s="4" t="s">
        <v>196</v>
      </c>
      <c r="E3" s="4" t="s">
        <v>73</v>
      </c>
      <c r="F3" s="4" t="s">
        <v>142</v>
      </c>
      <c r="G3" s="10">
        <f>184</f>
        <v>184</v>
      </c>
      <c r="H3" s="4" t="s">
        <v>24</v>
      </c>
    </row>
    <row r="4" spans="1:8" s="7" customFormat="1" ht="124.5" customHeight="1">
      <c r="A4" s="3">
        <v>13</v>
      </c>
      <c r="B4" s="4" t="s">
        <v>129</v>
      </c>
      <c r="C4" s="4" t="s">
        <v>66</v>
      </c>
      <c r="D4" s="15" t="s">
        <v>197</v>
      </c>
      <c r="E4" s="15" t="s">
        <v>73</v>
      </c>
      <c r="F4" s="15" t="s">
        <v>143</v>
      </c>
      <c r="G4" s="15">
        <f>360</f>
        <v>360</v>
      </c>
      <c r="H4" s="4" t="s">
        <v>24</v>
      </c>
    </row>
    <row r="5" spans="1:8" ht="69" customHeight="1">
      <c r="A5" s="3">
        <v>14</v>
      </c>
      <c r="B5" s="4" t="s">
        <v>121</v>
      </c>
      <c r="C5" s="4" t="s">
        <v>163</v>
      </c>
      <c r="D5" s="4" t="s">
        <v>158</v>
      </c>
      <c r="E5" s="4" t="s">
        <v>73</v>
      </c>
      <c r="F5" s="4" t="s">
        <v>179</v>
      </c>
      <c r="G5" s="11">
        <f>16</f>
        <v>16</v>
      </c>
      <c r="H5" s="4" t="s">
        <v>24</v>
      </c>
    </row>
    <row r="6" spans="1:8">
      <c r="D6" s="12"/>
      <c r="E6" s="103" t="s">
        <v>15</v>
      </c>
      <c r="F6" s="104"/>
      <c r="G6" s="101">
        <f>SUM(G3:G5)</f>
        <v>560</v>
      </c>
    </row>
    <row r="8" spans="1:8">
      <c r="G8" s="96"/>
    </row>
  </sheetData>
  <customSheetViews>
    <customSheetView guid="{96FD02FA-CE5E-4ADB-B35B-D1C6BC52FA4E}">
      <selection activeCell="M4" sqref="M4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>
      <selection activeCell="A2" sqref="A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O5" sqref="O5"/>
      <pageMargins left="0.51181102362204722" right="0.51181102362204722" top="0.59" bottom="0.41" header="0.31496062992125984" footer="0.31496062992125984"/>
      <pageSetup paperSize="9" orientation="landscape" horizontalDpi="4294967294" verticalDpi="4294967294" r:id="rId3"/>
    </customSheetView>
    <customSheetView guid="{8E208870-C947-48A4-A7D0-07C1A1950AA9}">
      <selection activeCell="G5" sqref="G5"/>
      <pageMargins left="0.51181102362204722" right="0.51181102362204722" top="0.59" bottom="0.41" header="0.31496062992125984" footer="0.31496062992125984"/>
      <pageSetup paperSize="9" orientation="landscape" horizontalDpi="4294967294" verticalDpi="4294967294" r:id="rId4"/>
    </customSheetView>
    <customSheetView guid="{BE4FC02B-9720-4D1A-82CA-4065D419B672}" showPageBreaks="1">
      <selection activeCell="D5" sqref="D5"/>
      <pageMargins left="0.51181102362204722" right="0.51181102362204722" top="0.59" bottom="0.41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59" bottom="0.41" header="0.31496062992125984" footer="0.31496062992125984"/>
  <pageSetup paperSize="9" orientation="landscape" horizontalDpi="4294967294" verticalDpi="4294967294" r:id="rId6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D7" sqref="D7"/>
    </sheetView>
  </sheetViews>
  <sheetFormatPr defaultRowHeight="12.75"/>
  <cols>
    <col min="1" max="1" width="9.140625" style="6" customWidth="1"/>
    <col min="2" max="2" width="16.85546875" style="6" customWidth="1"/>
    <col min="3" max="3" width="17" style="6" customWidth="1"/>
    <col min="4" max="4" width="29.42578125" style="97" customWidth="1"/>
    <col min="5" max="5" width="19" style="6" customWidth="1"/>
    <col min="6" max="6" width="11.7109375" style="6" customWidth="1"/>
    <col min="7" max="7" width="11" style="6" customWidth="1"/>
    <col min="8" max="8" width="14.7109375" style="6" customWidth="1"/>
    <col min="9" max="16384" width="9.140625" style="6"/>
  </cols>
  <sheetData>
    <row r="1" spans="1:8" ht="22.5" customHeight="1">
      <c r="A1" s="127" t="s">
        <v>44</v>
      </c>
      <c r="B1" s="128"/>
      <c r="C1" s="128"/>
      <c r="D1" s="128"/>
      <c r="E1" s="128"/>
      <c r="F1" s="128"/>
      <c r="G1" s="128"/>
      <c r="H1" s="129"/>
    </row>
    <row r="2" spans="1:8" ht="25.5">
      <c r="A2" s="1" t="s">
        <v>0</v>
      </c>
      <c r="B2" s="2" t="s">
        <v>1</v>
      </c>
      <c r="C2" s="2" t="s">
        <v>19</v>
      </c>
      <c r="D2" s="2" t="s">
        <v>3</v>
      </c>
      <c r="E2" s="2" t="s">
        <v>18</v>
      </c>
      <c r="F2" s="2" t="s">
        <v>4</v>
      </c>
      <c r="G2" s="2" t="s">
        <v>5</v>
      </c>
      <c r="H2" s="2" t="s">
        <v>12</v>
      </c>
    </row>
    <row r="3" spans="1:8" ht="78.75" customHeight="1">
      <c r="A3" s="3">
        <v>15</v>
      </c>
      <c r="B3" s="4" t="s">
        <v>79</v>
      </c>
      <c r="C3" s="4" t="s">
        <v>165</v>
      </c>
      <c r="D3" s="4" t="s">
        <v>189</v>
      </c>
      <c r="E3" s="4" t="s">
        <v>160</v>
      </c>
      <c r="F3" s="4" t="s">
        <v>53</v>
      </c>
      <c r="G3" s="10">
        <f>16</f>
        <v>16</v>
      </c>
      <c r="H3" s="4" t="s">
        <v>24</v>
      </c>
    </row>
    <row r="4" spans="1:8">
      <c r="D4" s="102"/>
      <c r="E4" s="98" t="s">
        <v>15</v>
      </c>
      <c r="F4" s="99"/>
      <c r="G4" s="100">
        <f>SUM(G3)</f>
        <v>16</v>
      </c>
    </row>
    <row r="5" spans="1:8">
      <c r="D5" s="105"/>
      <c r="E5" s="106"/>
      <c r="F5" s="106"/>
      <c r="G5" s="106"/>
    </row>
    <row r="6" spans="1:8">
      <c r="G6" s="96"/>
    </row>
  </sheetData>
  <customSheetViews>
    <customSheetView guid="{96FD02FA-CE5E-4ADB-B35B-D1C6BC52FA4E}">
      <selection activeCell="E16" sqref="E16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>
      <selection activeCell="A2" sqref="A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D7" sqref="D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8E208870-C947-48A4-A7D0-07C1A1950AA9}">
      <selection activeCell="G3" sqref="G3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BE4FC02B-9720-4D1A-82CA-4065D419B672}" showPageBreaks="1">
      <selection activeCell="D4" sqref="D4"/>
      <pageMargins left="0.51181102362204722" right="0.51181102362204722" top="0.68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6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F17" sqref="F17"/>
    </sheetView>
  </sheetViews>
  <sheetFormatPr defaultRowHeight="12.75"/>
  <cols>
    <col min="1" max="1" width="9.140625" style="6" customWidth="1"/>
    <col min="2" max="2" width="18.7109375" style="6" customWidth="1"/>
    <col min="3" max="3" width="17" style="6" customWidth="1"/>
    <col min="4" max="4" width="29" style="97" customWidth="1"/>
    <col min="5" max="5" width="19" style="6" customWidth="1"/>
    <col min="6" max="6" width="11.7109375" style="6" customWidth="1"/>
    <col min="7" max="7" width="11" style="6" customWidth="1"/>
    <col min="8" max="8" width="14.7109375" style="6" customWidth="1"/>
    <col min="9" max="16384" width="9.140625" style="6"/>
  </cols>
  <sheetData>
    <row r="1" spans="1:8" ht="24.75" customHeight="1">
      <c r="A1" s="127" t="s">
        <v>43</v>
      </c>
      <c r="B1" s="128"/>
      <c r="C1" s="128"/>
      <c r="D1" s="128"/>
      <c r="E1" s="128"/>
      <c r="F1" s="128"/>
      <c r="G1" s="128"/>
      <c r="H1" s="129"/>
    </row>
    <row r="2" spans="1:8" ht="25.5">
      <c r="A2" s="1" t="s">
        <v>0</v>
      </c>
      <c r="B2" s="2" t="s">
        <v>1</v>
      </c>
      <c r="C2" s="2" t="s">
        <v>19</v>
      </c>
      <c r="D2" s="2" t="s">
        <v>3</v>
      </c>
      <c r="E2" s="2" t="s">
        <v>18</v>
      </c>
      <c r="F2" s="2" t="s">
        <v>4</v>
      </c>
      <c r="G2" s="2" t="s">
        <v>5</v>
      </c>
      <c r="H2" s="2" t="s">
        <v>12</v>
      </c>
    </row>
    <row r="3" spans="1:8" ht="60" customHeight="1">
      <c r="A3" s="10">
        <v>16</v>
      </c>
      <c r="B3" s="61" t="s">
        <v>99</v>
      </c>
      <c r="C3" s="10" t="s">
        <v>165</v>
      </c>
      <c r="D3" s="90" t="s">
        <v>189</v>
      </c>
      <c r="E3" s="10" t="s">
        <v>77</v>
      </c>
      <c r="F3" s="10" t="s">
        <v>180</v>
      </c>
      <c r="G3" s="10">
        <f>40</f>
        <v>40</v>
      </c>
      <c r="H3" s="61" t="s">
        <v>22</v>
      </c>
    </row>
    <row r="4" spans="1:8" ht="100.5" customHeight="1">
      <c r="A4" s="10">
        <v>17</v>
      </c>
      <c r="B4" s="4" t="s">
        <v>78</v>
      </c>
      <c r="C4" s="4" t="s">
        <v>66</v>
      </c>
      <c r="D4" s="4" t="s">
        <v>191</v>
      </c>
      <c r="E4" s="4" t="s">
        <v>77</v>
      </c>
      <c r="F4" s="15" t="s">
        <v>145</v>
      </c>
      <c r="G4" s="15">
        <f>352</f>
        <v>352</v>
      </c>
      <c r="H4" s="4" t="s">
        <v>23</v>
      </c>
    </row>
    <row r="5" spans="1:8">
      <c r="D5" s="86"/>
      <c r="E5" s="98" t="s">
        <v>15</v>
      </c>
      <c r="F5" s="99"/>
      <c r="G5" s="100">
        <f>SUM(G3:G4)</f>
        <v>392</v>
      </c>
    </row>
    <row r="7" spans="1:8">
      <c r="G7" s="96"/>
    </row>
  </sheetData>
  <customSheetViews>
    <customSheetView guid="{96FD02FA-CE5E-4ADB-B35B-D1C6BC52FA4E}">
      <selection activeCell="G12" sqref="G1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>
      <selection activeCell="A2" sqref="A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F17" sqref="F1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8E208870-C947-48A4-A7D0-07C1A1950AA9}">
      <selection activeCell="F4" sqref="F4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BE4FC02B-9720-4D1A-82CA-4065D419B672}" showPageBreaks="1">
      <selection activeCell="E4" sqref="E4"/>
      <pageMargins left="0.51181102362204722" right="0.51181102362204722" top="0.64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6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H7" sqref="H7"/>
    </sheetView>
  </sheetViews>
  <sheetFormatPr defaultRowHeight="12.75"/>
  <cols>
    <col min="1" max="1" width="9.140625" style="6" customWidth="1"/>
    <col min="2" max="2" width="16.85546875" style="6" customWidth="1"/>
    <col min="3" max="3" width="17" style="6" customWidth="1"/>
    <col min="4" max="4" width="28.7109375" style="97" customWidth="1"/>
    <col min="5" max="5" width="19" style="6" customWidth="1"/>
    <col min="6" max="6" width="11.7109375" style="6" customWidth="1"/>
    <col min="7" max="7" width="11" style="6" customWidth="1"/>
    <col min="8" max="8" width="14.7109375" style="6" customWidth="1"/>
    <col min="9" max="16384" width="9.140625" style="6"/>
  </cols>
  <sheetData>
    <row r="1" spans="1:8" ht="24.75" customHeight="1">
      <c r="A1" s="126" t="s">
        <v>36</v>
      </c>
      <c r="B1" s="126"/>
      <c r="C1" s="126"/>
      <c r="D1" s="126"/>
      <c r="E1" s="126"/>
      <c r="F1" s="126"/>
      <c r="G1" s="126"/>
      <c r="H1" s="126"/>
    </row>
    <row r="2" spans="1:8" ht="25.5">
      <c r="A2" s="1" t="s">
        <v>0</v>
      </c>
      <c r="B2" s="2" t="s">
        <v>1</v>
      </c>
      <c r="C2" s="2" t="s">
        <v>19</v>
      </c>
      <c r="D2" s="2" t="s">
        <v>3</v>
      </c>
      <c r="E2" s="2" t="s">
        <v>18</v>
      </c>
      <c r="F2" s="2" t="s">
        <v>4</v>
      </c>
      <c r="G2" s="2" t="s">
        <v>5</v>
      </c>
      <c r="H2" s="2" t="s">
        <v>12</v>
      </c>
    </row>
    <row r="3" spans="1:8" ht="147.75" customHeight="1">
      <c r="A3" s="3">
        <v>18</v>
      </c>
      <c r="B3" s="4" t="s">
        <v>74</v>
      </c>
      <c r="C3" s="4" t="s">
        <v>66</v>
      </c>
      <c r="D3" s="4" t="s">
        <v>192</v>
      </c>
      <c r="E3" s="4" t="s">
        <v>32</v>
      </c>
      <c r="F3" s="4" t="s">
        <v>170</v>
      </c>
      <c r="G3" s="11">
        <f>354</f>
        <v>354</v>
      </c>
      <c r="H3" s="4" t="s">
        <v>23</v>
      </c>
    </row>
    <row r="4" spans="1:8" ht="100.5" customHeight="1">
      <c r="A4" s="3">
        <v>19</v>
      </c>
      <c r="B4" s="4" t="s">
        <v>76</v>
      </c>
      <c r="C4" s="4" t="s">
        <v>66</v>
      </c>
      <c r="D4" s="4" t="s">
        <v>198</v>
      </c>
      <c r="E4" s="4" t="s">
        <v>32</v>
      </c>
      <c r="F4" s="4" t="s">
        <v>171</v>
      </c>
      <c r="G4" s="10">
        <f>408</f>
        <v>408</v>
      </c>
      <c r="H4" s="4" t="s">
        <v>65</v>
      </c>
    </row>
    <row r="5" spans="1:8" ht="61.5" customHeight="1">
      <c r="A5" s="3">
        <v>20</v>
      </c>
      <c r="B5" s="4" t="s">
        <v>110</v>
      </c>
      <c r="C5" s="4" t="s">
        <v>162</v>
      </c>
      <c r="D5" s="4" t="s">
        <v>158</v>
      </c>
      <c r="E5" s="4" t="s">
        <v>32</v>
      </c>
      <c r="F5" s="4" t="s">
        <v>175</v>
      </c>
      <c r="G5" s="10">
        <f>32</f>
        <v>32</v>
      </c>
      <c r="H5" s="4" t="s">
        <v>23</v>
      </c>
    </row>
    <row r="6" spans="1:8" ht="60" customHeight="1">
      <c r="A6" s="3">
        <v>20</v>
      </c>
      <c r="B6" s="87" t="s">
        <v>117</v>
      </c>
      <c r="C6" s="4" t="s">
        <v>163</v>
      </c>
      <c r="D6" s="4" t="s">
        <v>158</v>
      </c>
      <c r="E6" s="4" t="s">
        <v>32</v>
      </c>
      <c r="F6" s="4" t="s">
        <v>161</v>
      </c>
      <c r="G6" s="10">
        <f>40</f>
        <v>40</v>
      </c>
      <c r="H6" s="4" t="s">
        <v>23</v>
      </c>
    </row>
    <row r="7" spans="1:8" ht="75" customHeight="1">
      <c r="A7" s="3">
        <v>22</v>
      </c>
      <c r="B7" s="4" t="s">
        <v>126</v>
      </c>
      <c r="C7" s="4" t="s">
        <v>193</v>
      </c>
      <c r="D7" s="4" t="s">
        <v>199</v>
      </c>
      <c r="E7" s="4" t="s">
        <v>32</v>
      </c>
      <c r="F7" s="4" t="s">
        <v>7</v>
      </c>
      <c r="G7" s="10">
        <f>128</f>
        <v>128</v>
      </c>
      <c r="H7" s="4" t="s">
        <v>24</v>
      </c>
    </row>
    <row r="8" spans="1:8" s="97" customFormat="1" ht="18" customHeight="1">
      <c r="D8" s="86"/>
      <c r="E8" s="117" t="s">
        <v>15</v>
      </c>
      <c r="F8" s="118"/>
      <c r="G8" s="100">
        <f>SUM(G3:G7)</f>
        <v>962</v>
      </c>
    </row>
    <row r="10" spans="1:8">
      <c r="G10" s="96"/>
    </row>
  </sheetData>
  <customSheetViews>
    <customSheetView guid="{96FD02FA-CE5E-4ADB-B35B-D1C6BC52FA4E}" topLeftCell="A4">
      <selection activeCell="F2" sqref="F2:H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 topLeftCell="A4">
      <selection activeCell="A7" sqref="A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H7" sqref="H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8E208870-C947-48A4-A7D0-07C1A1950AA9}">
      <selection activeCell="G7" sqref="G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BE4FC02B-9720-4D1A-82CA-4065D419B672}" showPageBreaks="1">
      <selection activeCell="G13" sqref="G13"/>
      <pageMargins left="0.51181102362204722" right="0.51181102362204722" top="0.63" bottom="0.44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6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H5" sqref="H5"/>
    </sheetView>
  </sheetViews>
  <sheetFormatPr defaultRowHeight="12.75"/>
  <cols>
    <col min="1" max="1" width="7.85546875" style="6" customWidth="1"/>
    <col min="2" max="2" width="21.5703125" style="6" customWidth="1"/>
    <col min="3" max="3" width="17.42578125" style="6" customWidth="1"/>
    <col min="4" max="4" width="30.42578125" style="6" customWidth="1"/>
    <col min="5" max="8" width="13.5703125" style="6" customWidth="1"/>
    <col min="9" max="9" width="11.28515625" style="6" customWidth="1"/>
    <col min="10" max="16384" width="9.140625" style="6"/>
  </cols>
  <sheetData>
    <row r="1" spans="1:8" ht="23.25" customHeight="1">
      <c r="A1" s="127" t="s">
        <v>42</v>
      </c>
      <c r="B1" s="128"/>
      <c r="C1" s="128"/>
      <c r="D1" s="128"/>
      <c r="E1" s="128"/>
      <c r="F1" s="128"/>
      <c r="G1" s="128"/>
      <c r="H1" s="129"/>
    </row>
    <row r="2" spans="1:8" ht="25.5">
      <c r="A2" s="1" t="s">
        <v>0</v>
      </c>
      <c r="B2" s="2" t="s">
        <v>1</v>
      </c>
      <c r="C2" s="2" t="s">
        <v>19</v>
      </c>
      <c r="D2" s="2" t="s">
        <v>3</v>
      </c>
      <c r="E2" s="2" t="s">
        <v>18</v>
      </c>
      <c r="F2" s="2" t="s">
        <v>4</v>
      </c>
      <c r="G2" s="2" t="s">
        <v>5</v>
      </c>
      <c r="H2" s="2" t="s">
        <v>12</v>
      </c>
    </row>
    <row r="3" spans="1:8" ht="213" customHeight="1">
      <c r="A3" s="3">
        <v>23</v>
      </c>
      <c r="B3" s="61" t="s">
        <v>205</v>
      </c>
      <c r="C3" s="4" t="s">
        <v>66</v>
      </c>
      <c r="D3" s="3" t="s">
        <v>207</v>
      </c>
      <c r="E3" s="4" t="s">
        <v>206</v>
      </c>
      <c r="F3" s="4" t="s">
        <v>144</v>
      </c>
      <c r="G3" s="10">
        <f>360</f>
        <v>360</v>
      </c>
      <c r="H3" s="4" t="s">
        <v>24</v>
      </c>
    </row>
    <row r="4" spans="1:8" ht="62.25" customHeight="1">
      <c r="A4" s="3">
        <v>24</v>
      </c>
      <c r="B4" s="61" t="s">
        <v>130</v>
      </c>
      <c r="C4" s="4" t="s">
        <v>165</v>
      </c>
      <c r="D4" s="91" t="s">
        <v>158</v>
      </c>
      <c r="E4" s="4" t="s">
        <v>72</v>
      </c>
      <c r="F4" s="4" t="s">
        <v>181</v>
      </c>
      <c r="G4" s="10">
        <f>40</f>
        <v>40</v>
      </c>
      <c r="H4" s="4" t="s">
        <v>22</v>
      </c>
    </row>
    <row r="5" spans="1:8" ht="68.25" customHeight="1">
      <c r="A5" s="3">
        <v>25</v>
      </c>
      <c r="B5" s="61" t="s">
        <v>120</v>
      </c>
      <c r="C5" s="4" t="s">
        <v>163</v>
      </c>
      <c r="D5" s="91" t="s">
        <v>158</v>
      </c>
      <c r="E5" s="4" t="s">
        <v>72</v>
      </c>
      <c r="F5" s="4" t="s">
        <v>8</v>
      </c>
      <c r="G5" s="10">
        <f>16</f>
        <v>16</v>
      </c>
      <c r="H5" s="4" t="s">
        <v>24</v>
      </c>
    </row>
    <row r="6" spans="1:8">
      <c r="D6" s="88"/>
      <c r="E6" s="107" t="s">
        <v>15</v>
      </c>
      <c r="F6" s="108"/>
      <c r="G6" s="109">
        <f>SUM(G3:G5)</f>
        <v>416</v>
      </c>
    </row>
    <row r="7" spans="1:8">
      <c r="G7" s="96"/>
    </row>
  </sheetData>
  <customSheetViews>
    <customSheetView guid="{96FD02FA-CE5E-4ADB-B35B-D1C6BC52FA4E}">
      <selection activeCell="F2" sqref="F2:H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>
      <selection activeCell="A2" sqref="A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H5" sqref="H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8E208870-C947-48A4-A7D0-07C1A1950AA9}">
      <selection activeCell="E16" sqref="E16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BE4FC02B-9720-4D1A-82CA-4065D419B672}" showPageBreaks="1">
      <selection activeCell="D4" sqref="D4"/>
      <pageMargins left="0.51181102362204722" right="0.51181102362204722" top="0.64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6"/>
</worksheet>
</file>

<file path=xl/worksheets/sheet8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L5" sqref="L5"/>
    </sheetView>
  </sheetViews>
  <sheetFormatPr defaultRowHeight="12.75"/>
  <cols>
    <col min="1" max="1" width="8.42578125" style="6" customWidth="1"/>
    <col min="2" max="2" width="20.5703125" style="6" customWidth="1"/>
    <col min="3" max="3" width="17.5703125" style="6" customWidth="1"/>
    <col min="4" max="4" width="28" style="6" customWidth="1"/>
    <col min="5" max="5" width="16.28515625" style="6" customWidth="1"/>
    <col min="6" max="6" width="14.28515625" style="6" customWidth="1"/>
    <col min="7" max="7" width="13.42578125" style="6" customWidth="1"/>
    <col min="8" max="8" width="13.140625" style="6" customWidth="1"/>
    <col min="9" max="16384" width="9.140625" style="6"/>
  </cols>
  <sheetData>
    <row r="1" spans="1:8" ht="24" customHeight="1">
      <c r="A1" s="126" t="s">
        <v>37</v>
      </c>
      <c r="B1" s="126"/>
      <c r="C1" s="126"/>
      <c r="D1" s="126"/>
      <c r="E1" s="126"/>
      <c r="F1" s="126"/>
      <c r="G1" s="126"/>
      <c r="H1" s="126"/>
    </row>
    <row r="2" spans="1:8" ht="30.75" customHeight="1">
      <c r="A2" s="1" t="s">
        <v>0</v>
      </c>
      <c r="B2" s="2" t="s">
        <v>1</v>
      </c>
      <c r="C2" s="2" t="s">
        <v>19</v>
      </c>
      <c r="D2" s="2" t="s">
        <v>3</v>
      </c>
      <c r="E2" s="2" t="s">
        <v>18</v>
      </c>
      <c r="F2" s="2" t="s">
        <v>4</v>
      </c>
      <c r="G2" s="2" t="s">
        <v>5</v>
      </c>
      <c r="H2" s="2" t="s">
        <v>12</v>
      </c>
    </row>
    <row r="3" spans="1:8" ht="114" customHeight="1">
      <c r="A3" s="3">
        <v>26</v>
      </c>
      <c r="B3" s="4" t="s">
        <v>69</v>
      </c>
      <c r="C3" s="4" t="s">
        <v>194</v>
      </c>
      <c r="D3" s="4" t="s">
        <v>70</v>
      </c>
      <c r="E3" s="4" t="s">
        <v>71</v>
      </c>
      <c r="F3" s="15" t="s">
        <v>173</v>
      </c>
      <c r="G3" s="15">
        <f>362</f>
        <v>362</v>
      </c>
      <c r="H3" s="4" t="s">
        <v>23</v>
      </c>
    </row>
    <row r="4" spans="1:8" ht="68.25" customHeight="1">
      <c r="A4" s="10">
        <v>27</v>
      </c>
      <c r="B4" s="4" t="s">
        <v>80</v>
      </c>
      <c r="C4" s="4" t="s">
        <v>162</v>
      </c>
      <c r="D4" s="4" t="s">
        <v>158</v>
      </c>
      <c r="E4" s="4" t="s">
        <v>164</v>
      </c>
      <c r="F4" s="15" t="s">
        <v>182</v>
      </c>
      <c r="G4" s="15">
        <f>16+24</f>
        <v>40</v>
      </c>
      <c r="H4" s="4" t="s">
        <v>141</v>
      </c>
    </row>
    <row r="5" spans="1:8" ht="65.25" customHeight="1">
      <c r="A5" s="17">
        <v>28</v>
      </c>
      <c r="B5" s="4" t="s">
        <v>113</v>
      </c>
      <c r="C5" s="4" t="s">
        <v>163</v>
      </c>
      <c r="D5" s="4" t="s">
        <v>158</v>
      </c>
      <c r="E5" s="4" t="s">
        <v>164</v>
      </c>
      <c r="F5" s="4" t="s">
        <v>183</v>
      </c>
      <c r="G5" s="18">
        <f>40</f>
        <v>40</v>
      </c>
      <c r="H5" s="4" t="s">
        <v>23</v>
      </c>
    </row>
    <row r="6" spans="1:8">
      <c r="D6" s="14"/>
      <c r="E6" s="98" t="s">
        <v>15</v>
      </c>
      <c r="F6" s="99"/>
      <c r="G6" s="100">
        <f>SUM(G3:G5)</f>
        <v>442</v>
      </c>
    </row>
    <row r="7" spans="1:8">
      <c r="E7" s="106"/>
      <c r="F7" s="106"/>
      <c r="G7" s="110"/>
    </row>
  </sheetData>
  <customSheetViews>
    <customSheetView guid="{96FD02FA-CE5E-4ADB-B35B-D1C6BC52FA4E}">
      <selection activeCell="F2" sqref="F2:H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>
      <selection activeCell="A7" sqref="A7:XFD8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L5" sqref="L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8E208870-C947-48A4-A7D0-07C1A1950AA9}">
      <selection activeCell="F4" sqref="F4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BE4FC02B-9720-4D1A-82CA-4065D419B672}" showPageBreaks="1">
      <selection activeCell="D3" sqref="D3"/>
      <pageMargins left="0.51181102362204722" right="0.51181102362204722" top="0.59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6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9" sqref="G9"/>
    </sheetView>
  </sheetViews>
  <sheetFormatPr defaultRowHeight="12.75"/>
  <cols>
    <col min="1" max="1" width="8.7109375" style="6" customWidth="1"/>
    <col min="2" max="2" width="19.42578125" style="6" customWidth="1"/>
    <col min="3" max="3" width="18.7109375" style="6" customWidth="1"/>
    <col min="4" max="4" width="26.140625" style="6" customWidth="1"/>
    <col min="5" max="7" width="13.42578125" style="6" customWidth="1"/>
    <col min="8" max="8" width="13" style="6" customWidth="1"/>
    <col min="9" max="16384" width="9.140625" style="6"/>
  </cols>
  <sheetData>
    <row r="1" spans="1:8" ht="22.5" customHeight="1">
      <c r="A1" s="127" t="s">
        <v>38</v>
      </c>
      <c r="B1" s="128"/>
      <c r="C1" s="128"/>
      <c r="D1" s="128"/>
      <c r="E1" s="128"/>
      <c r="F1" s="128"/>
      <c r="G1" s="128"/>
      <c r="H1" s="129"/>
    </row>
    <row r="2" spans="1:8" ht="25.5">
      <c r="A2" s="1" t="s">
        <v>0</v>
      </c>
      <c r="B2" s="2" t="s">
        <v>1</v>
      </c>
      <c r="C2" s="2" t="s">
        <v>2</v>
      </c>
      <c r="D2" s="2" t="s">
        <v>3</v>
      </c>
      <c r="E2" s="2" t="s">
        <v>18</v>
      </c>
      <c r="F2" s="2" t="s">
        <v>4</v>
      </c>
      <c r="G2" s="2" t="s">
        <v>5</v>
      </c>
      <c r="H2" s="2" t="s">
        <v>12</v>
      </c>
    </row>
    <row r="3" spans="1:8" ht="248.25" customHeight="1">
      <c r="A3" s="3">
        <v>29</v>
      </c>
      <c r="B3" s="4" t="s">
        <v>94</v>
      </c>
      <c r="C3" s="4" t="s">
        <v>66</v>
      </c>
      <c r="D3" s="4" t="s">
        <v>200</v>
      </c>
      <c r="E3" s="4" t="s">
        <v>168</v>
      </c>
      <c r="F3" s="4" t="s">
        <v>166</v>
      </c>
      <c r="G3" s="10">
        <f>184</f>
        <v>184</v>
      </c>
      <c r="H3" s="4" t="s">
        <v>65</v>
      </c>
    </row>
    <row r="4" spans="1:8" ht="160.5" customHeight="1">
      <c r="A4" s="3">
        <v>30</v>
      </c>
      <c r="B4" s="4" t="s">
        <v>104</v>
      </c>
      <c r="C4" s="4" t="s">
        <v>66</v>
      </c>
      <c r="D4" s="4" t="s">
        <v>201</v>
      </c>
      <c r="E4" s="4" t="s">
        <v>68</v>
      </c>
      <c r="F4" s="4" t="s">
        <v>167</v>
      </c>
      <c r="G4" s="10">
        <f>408</f>
        <v>408</v>
      </c>
      <c r="H4" s="4" t="s">
        <v>65</v>
      </c>
    </row>
    <row r="5" spans="1:8" ht="127.5" customHeight="1">
      <c r="A5" s="3">
        <v>31</v>
      </c>
      <c r="B5" s="4" t="s">
        <v>67</v>
      </c>
      <c r="C5" s="4" t="s">
        <v>66</v>
      </c>
      <c r="D5" s="4" t="s">
        <v>202</v>
      </c>
      <c r="E5" s="4" t="s">
        <v>68</v>
      </c>
      <c r="F5" s="4" t="s">
        <v>143</v>
      </c>
      <c r="G5" s="10">
        <f>438</f>
        <v>438</v>
      </c>
      <c r="H5" s="4" t="s">
        <v>65</v>
      </c>
    </row>
    <row r="6" spans="1:8" ht="65.25" customHeight="1">
      <c r="A6" s="3">
        <v>32</v>
      </c>
      <c r="B6" s="4" t="s">
        <v>83</v>
      </c>
      <c r="C6" s="4" t="s">
        <v>165</v>
      </c>
      <c r="D6" s="4" t="s">
        <v>158</v>
      </c>
      <c r="E6" s="4" t="s">
        <v>68</v>
      </c>
      <c r="F6" s="4" t="s">
        <v>181</v>
      </c>
      <c r="G6" s="10">
        <f>40</f>
        <v>40</v>
      </c>
      <c r="H6" s="4" t="s">
        <v>22</v>
      </c>
    </row>
    <row r="7" spans="1:8" ht="65.25" customHeight="1">
      <c r="A7" s="3">
        <v>33</v>
      </c>
      <c r="B7" s="4" t="s">
        <v>156</v>
      </c>
      <c r="C7" s="4" t="s">
        <v>163</v>
      </c>
      <c r="D7" s="4" t="s">
        <v>158</v>
      </c>
      <c r="E7" s="4" t="s">
        <v>68</v>
      </c>
      <c r="F7" s="4" t="s">
        <v>56</v>
      </c>
      <c r="G7" s="10">
        <f>16</f>
        <v>16</v>
      </c>
      <c r="H7" s="4" t="s">
        <v>65</v>
      </c>
    </row>
    <row r="8" spans="1:8" ht="65.25" customHeight="1">
      <c r="A8" s="3">
        <v>34</v>
      </c>
      <c r="B8" s="4" t="s">
        <v>155</v>
      </c>
      <c r="C8" s="4" t="s">
        <v>162</v>
      </c>
      <c r="D8" s="4" t="s">
        <v>158</v>
      </c>
      <c r="E8" s="4" t="s">
        <v>68</v>
      </c>
      <c r="F8" s="4" t="s">
        <v>181</v>
      </c>
      <c r="G8" s="10">
        <f>32</f>
        <v>32</v>
      </c>
      <c r="H8" s="4" t="s">
        <v>65</v>
      </c>
    </row>
    <row r="9" spans="1:8" ht="73.5" customHeight="1">
      <c r="A9" s="3">
        <v>35</v>
      </c>
      <c r="B9" s="4" t="s">
        <v>112</v>
      </c>
      <c r="C9" s="4" t="s">
        <v>165</v>
      </c>
      <c r="D9" s="4" t="s">
        <v>158</v>
      </c>
      <c r="E9" s="4" t="s">
        <v>68</v>
      </c>
      <c r="F9" s="4" t="s">
        <v>184</v>
      </c>
      <c r="G9" s="10">
        <f>32</f>
        <v>32</v>
      </c>
      <c r="H9" s="4" t="s">
        <v>23</v>
      </c>
    </row>
    <row r="10" spans="1:8" ht="70.5" customHeight="1">
      <c r="A10" s="3">
        <v>36</v>
      </c>
      <c r="B10" s="4" t="s">
        <v>97</v>
      </c>
      <c r="C10" s="4" t="s">
        <v>165</v>
      </c>
      <c r="D10" s="4" t="s">
        <v>158</v>
      </c>
      <c r="E10" s="4" t="s">
        <v>68</v>
      </c>
      <c r="F10" s="4" t="s">
        <v>51</v>
      </c>
      <c r="G10" s="10">
        <f>16</f>
        <v>16</v>
      </c>
      <c r="H10" s="4" t="s">
        <v>24</v>
      </c>
    </row>
    <row r="11" spans="1:8">
      <c r="D11" s="14"/>
      <c r="E11" s="98" t="s">
        <v>15</v>
      </c>
      <c r="F11" s="99"/>
      <c r="G11" s="100">
        <f>SUM(G3:G10)</f>
        <v>1166</v>
      </c>
    </row>
  </sheetData>
  <customSheetViews>
    <customSheetView guid="{96FD02FA-CE5E-4ADB-B35B-D1C6BC52FA4E}" topLeftCell="A6">
      <selection activeCell="F2" sqref="F2:H1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1"/>
    </customSheetView>
    <customSheetView guid="{B01252BE-60D1-4D61-8D54-18CA35878812}">
      <selection activeCell="A7" sqref="A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G9" sqref="G9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8E208870-C947-48A4-A7D0-07C1A1950AA9}" topLeftCell="A7">
      <selection activeCell="G10" sqref="G1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BE4FC02B-9720-4D1A-82CA-4065D419B672}" showPageBreaks="1">
      <selection activeCell="F5" sqref="F5"/>
      <pageMargins left="0.51181102362204722" right="0.51181102362204722" top="0.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4" verticalDpi="4294967294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CONTR ORGANIZ</vt:lpstr>
      <vt:lpstr>PÓS-GRAD E PESQUISA</vt:lpstr>
      <vt:lpstr>ENSINO DE GRADUAÇÃO</vt:lpstr>
      <vt:lpstr>EXTENSÃO</vt:lpstr>
      <vt:lpstr>APOIO ACADEMICO</vt:lpstr>
      <vt:lpstr>PLANEJ, ORÇ, FINANÇAS</vt:lpstr>
      <vt:lpstr>INF, COMUNIC, E TECNOL</vt:lpstr>
      <vt:lpstr>BENS E SERVIÇOS</vt:lpstr>
      <vt:lpstr>GESTÃO DE PESSOAS</vt:lpstr>
      <vt:lpstr>INFRA, MANUT, SEGURANÇA</vt:lpstr>
      <vt:lpstr>Gestão Audint</vt:lpstr>
      <vt:lpstr>Jediene</vt:lpstr>
      <vt:lpstr>Mirelle</vt:lpstr>
      <vt:lpstr>Lyndon</vt:lpstr>
      <vt:lpstr>Bruno</vt:lpstr>
      <vt:lpstr>ARTHUR</vt:lpstr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Mirelle</cp:lastModifiedBy>
  <cp:lastPrinted>2018-10-11T15:07:12Z</cp:lastPrinted>
  <dcterms:created xsi:type="dcterms:W3CDTF">2016-10-10T14:56:09Z</dcterms:created>
  <dcterms:modified xsi:type="dcterms:W3CDTF">2019-01-30T14:18:20Z</dcterms:modified>
</cp:coreProperties>
</file>